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backupFile="1" codeName="ThisWorkbook"/>
  <mc:AlternateContent xmlns:mc="http://schemas.openxmlformats.org/markup-compatibility/2006">
    <mc:Choice Requires="x15">
      <x15ac:absPath xmlns:x15ac="http://schemas.microsoft.com/office/spreadsheetml/2010/11/ac" url="C:\Users\Raynald\Desktop\"/>
    </mc:Choice>
  </mc:AlternateContent>
  <xr:revisionPtr revIDLastSave="0" documentId="13_ncr:1_{07BF5856-6F00-4913-86D7-FFEE903B7D6A}" xr6:coauthVersionLast="47" xr6:coauthVersionMax="47" xr10:uidLastSave="{00000000-0000-0000-0000-000000000000}"/>
  <bookViews>
    <workbookView xWindow="-108" yWindow="-108" windowWidth="23256" windowHeight="12456" activeTab="1"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Abaco!$G$41:$G$67</definedName>
    <definedName name="Acc_max">Trajecto!$L$24</definedName>
    <definedName name="acc_x">Calculs!$D$4:$D$1004</definedName>
    <definedName name="acc_xz">Calculs!$F$4:$F$1004</definedName>
    <definedName name="acc_z">Calculs!$E$4:$E$1004</definedName>
    <definedName name="Alt_para">Trajecto!$I$27</definedName>
    <definedName name="alt_prop">Abaco!$J$41:$J$67</definedName>
    <definedName name="Alt_rampe">Trajecto!$C$20</definedName>
    <definedName name="Alt_sat">Trajecto!$I$25</definedName>
    <definedName name="Altitude_culmi">Trajecto!$I$26</definedName>
    <definedName name="b_bal">Abaco!$I$41:$I$67</definedName>
    <definedName name="b_prop">Abaco!$H$41:$H$67</definedName>
    <definedName name="Beta">Calculs!$M$4:$M$1004</definedName>
    <definedName name="Beta_rampe">Trajecto!$C$19</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Trajecto!$C$15</definedName>
    <definedName name="Cx_para">Trajecto!$C$28</definedName>
    <definedName name="Cx_satellite">Trajecto!$D$28</definedName>
    <definedName name="D_ail">Stabilito!$C$34</definedName>
    <definedName name="D_can" localSheetId="0">Stabilito!$D$34</definedName>
    <definedName name="D_int" localSheetId="0">Stabilito!$E$34</definedName>
    <definedName name="D_og">Stabilito!$C$23</definedName>
    <definedName name="D_ref">Stabilito!$C$14</definedName>
    <definedName name="D_var">Abaco!$B$41:$B$67</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Trajecto!$C$31</definedName>
    <definedName name="Dt_satellite">Trajecto!$D$31</definedName>
    <definedName name="Dx_para">Trajecto!$C$33</definedName>
    <definedName name="Dx_sat">Trajecto!$D$33</definedName>
    <definedName name="E_ail">Stabilito!$C$30</definedName>
    <definedName name="E_can">Stabilito!$D$30</definedName>
    <definedName name="E_int" localSheetId="0">Stabilito!$E$30</definedName>
    <definedName name="ep_ail">Stabilito!$C$31</definedName>
    <definedName name="ep_can">Stabilito!$D$31</definedName>
    <definedName name="ep_int" localSheetId="0">Stabilito!$E$31</definedName>
    <definedName name="Event">Calculs!$Y$4:$Y$1004</definedName>
    <definedName name="Event_para">Calculs!$Z$4:$Z$1004</definedName>
    <definedName name="Event_sat">Calculs!$AA$4:$AA$1004</definedName>
    <definedName name="f_ail" localSheetId="0">Stabilito!$C$35</definedName>
    <definedName name="f_can" localSheetId="0">Stabilito!$D$35</definedName>
    <definedName name="f_int" localSheetId="0">Stabilito!$E$35</definedName>
    <definedName name="Finesse">Stabilito!$H$27</definedName>
    <definedName name="Forme_ogive">Stabilito!$C$21</definedName>
    <definedName name="g">Info!$E$52</definedName>
    <definedName name="i_P">Calculs!$P$4:$P$1004</definedName>
    <definedName name="I_total">Propu!$D$2</definedName>
    <definedName name="ISP">Propu!$F$2</definedName>
    <definedName name="l_j">Stabilito!$M$6</definedName>
    <definedName name="l_r">Stabilito!$O$6</definedName>
    <definedName name="L_rampe">Trajecto!$C$18</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Propu!$A$317:$A$330</definedName>
    <definedName name="Liste_RC">Propu!$I$317:$J$346</definedName>
    <definedName name="Long_ogive">Stabilito!$C$22</definedName>
    <definedName name="Long_propu">Propu!$R$2</definedName>
    <definedName name="Long_tot">Stabilito!$C$13</definedName>
    <definedName name="m">Calculs!$S$4:$S$1004</definedName>
    <definedName name="m_ail">Stabilito!$C$27</definedName>
    <definedName name="m_bal">Abaco!$F$41:$F$67</definedName>
    <definedName name="m_can">Stabilito!$D$27</definedName>
    <definedName name="m_int" localSheetId="0">Stabilito!$E$27</definedName>
    <definedName name="m_poudre">Propu!$J$2</definedName>
    <definedName name="m_prop">Abaco!$E$41:$E$67</definedName>
    <definedName name="m_satellite">Trajecto!$D$24</definedName>
    <definedName name="m_tot">Trajecto!$C$10</definedName>
    <definedName name="m_var">Abaco!$D$41:$D$67</definedName>
    <definedName name="m_vide">Trajecto!$C$24</definedName>
    <definedName name="Masse_ail">Controle!$H$63</definedName>
    <definedName name="MassePlein">Stabilito!$M$14</definedName>
    <definedName name="MasseSans">Stabilito!$P$14</definedName>
    <definedName name="MasseVide">Stabilito!$N$14</definedName>
    <definedName name="Menu_Empennage">Stabilito!$B$111:$B$112</definedName>
    <definedName name="Menu_Lang">Stabilito!$B$93:$B$94</definedName>
    <definedName name="Menu_Ogive">Stabilito!$B$107:$B$109</definedName>
    <definedName name="Menu_sat">Trajecto!$B$104:$B$105</definedName>
    <definedName name="Menu_Transitions">Stabilito!$B$114:$B$115</definedName>
    <definedName name="Menu_Type">Stabilito!$B$96:$B$100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Stabilito!$C$28</definedName>
    <definedName name="n_can">Stabilito!$D$28</definedName>
    <definedName name="n_int" localSheetId="0">Stabilito!$E$28</definedName>
    <definedName name="Nb_diam">Stabilito!$M$4</definedName>
    <definedName name="Nb_sat">Trajecto!$D$23</definedName>
    <definedName name="Nom">Stabilito!$C$8</definedName>
    <definedName name="p_ail">Stabilito!$C$29</definedName>
    <definedName name="p_can">Stabilito!$D$29</definedName>
    <definedName name="p_int" localSheetId="0">Stabilito!$E$29</definedName>
    <definedName name="pas">Calculs!$A$4:$A$1004</definedName>
    <definedName name="Poids">Calculs!$T$4:$T$1004</definedName>
    <definedName name="Portee_balistique">Trajecto!$J$28</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Stabilito!$C$17</definedName>
    <definedName name="Q_ail">Stabilito!$C$32</definedName>
    <definedName name="Q_can">Stabilito!$D$32</definedName>
    <definedName name="Q_int" localSheetId="0">Stabilito!$E$32</definedName>
    <definedName name="Q_var">Abaco!$C$41:$C$67</definedName>
    <definedName name="R_rampe">Calculs!$U$4:$U$1004</definedName>
    <definedName name="Rho">Calculs!$V$4:$V$1004</definedName>
    <definedName name="Rho_moyen">Info!$E$53</definedName>
    <definedName name="S_ail">Controle!$H$64</definedName>
    <definedName name="S_para">Trajecto!$C$27</definedName>
    <definedName name="S_para_croix">Trajecto!$B$47</definedName>
    <definedName name="S_para_rond">Trajecto!$B$55</definedName>
    <definedName name="S_satellite">Trajecto!$D$27</definedName>
    <definedName name="Sref">Trajecto!$C$14</definedName>
    <definedName name="sS">Trajecto!$F$132</definedName>
    <definedName name="t">Calculs!$B$4:$B$1004</definedName>
    <definedName name="T_balistique">Trajecto!$H$28</definedName>
    <definedName name="T_ini">Trajecto!$H$40</definedName>
    <definedName name="T_para">Trajecto!$C$113</definedName>
    <definedName name="T_satellite">Trajecto!$D$26</definedName>
    <definedName name="Temps_culmi">Trajecto!$H$26</definedName>
    <definedName name="Temps_fin_propu">Propu!$X$3</definedName>
    <definedName name="Trainee">Calculs!$W$4:$W$1004</definedName>
    <definedName name="tT_fus">Trajecto!$F$133</definedName>
    <definedName name="tT_sat">Trajecto!$F$150</definedName>
    <definedName name="Type_fusee">Stabilito!$C$10</definedName>
    <definedName name="Type_masquage" localSheetId="5">Stabilito!$C$26</definedName>
    <definedName name="Type_masquage" localSheetId="0">Stabilito!$C$26</definedName>
    <definedName name="Type_propu">Propu!$V$2</definedName>
    <definedName name="V_ini">Trajecto!$K$40</definedName>
    <definedName name="V_ouv_sat">Trajecto!$K$25</definedName>
    <definedName name="V_ouverture">Trajecto!$K$27</definedName>
    <definedName name="V_para">Trajecto!$C$30</definedName>
    <definedName name="V_prop">Abaco!$K$41:$K$67</definedName>
    <definedName name="V_satellite">Trajecto!$D$30</definedName>
    <definedName name="V_vent">Trajecto!$C$29</definedName>
    <definedName name="V_vent_sat">Trajecto!$D$29</definedName>
    <definedName name="Version" localSheetId="0">Stabilito!$Q$36</definedName>
    <definedName name="Version" localSheetId="1">Trajecto!$N$35</definedName>
    <definedName name="Vit_culmi">Trajecto!$K$26</definedName>
    <definedName name="Vit_max">Trajecto!$K$24</definedName>
    <definedName name="vit_x">Calculs!$G$4:$G$1004</definedName>
    <definedName name="vit_xz">Calculs!$I$4:$I$1004</definedName>
    <definedName name="vit_z">Calculs!$H$4:$H$1004</definedName>
    <definedName name="Vsortie_de_rampe">Trajecto!$K$23</definedName>
    <definedName name="X_ail">Stabilito!$C$33</definedName>
    <definedName name="X_can">Stabilito!$D$33</definedName>
    <definedName name="X_culmi">Trajecto!$J$26</definedName>
    <definedName name="X_ini">Trajecto!$J$40</definedName>
    <definedName name="X_int" localSheetId="0">Stabilito!$E$33</definedName>
    <definedName name="X_j">Stabilito!$M$9</definedName>
    <definedName name="X_para">Trajecto!$J$27</definedName>
    <definedName name="X_r">Stabilito!$O$9</definedName>
    <definedName name="X_satellite">Trajecto!$J$25</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Stabilito!$C$18</definedName>
    <definedName name="XpropuVide">Propu!$P$2</definedName>
    <definedName name="Z_ini">Trajecto!$I$40</definedName>
    <definedName name="_xlnm.Print_Area" localSheetId="5">Abaco!$A$1:$M$35</definedName>
    <definedName name="_xlnm.Print_Area" localSheetId="2">Courbes!$A$1:$K$78</definedName>
    <definedName name="_xlnm.Print_Area" localSheetId="0">Stabilito!$A$1:$Q$37</definedName>
    <definedName name="_xlnm.Print_Area" localSheetId="1">Trajecto!$A$1:$N$35</definedName>
    <definedName name="zZ_fus">Trajecto!$F$134</definedName>
    <definedName name="zZ_sat">Trajecto!$F$151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3" i="6" l="1"/>
  <c r="C14" i="6"/>
  <c r="H6" i="7" s="1"/>
  <c r="X307" i="4"/>
  <c r="W307" i="4"/>
  <c r="V307" i="4"/>
  <c r="U307" i="4"/>
  <c r="T307" i="4"/>
  <c r="S307" i="4"/>
  <c r="R307" i="4"/>
  <c r="Q307" i="4"/>
  <c r="P307" i="4"/>
  <c r="O307" i="4"/>
  <c r="N307" i="4"/>
  <c r="M307" i="4"/>
  <c r="L307" i="4"/>
  <c r="K307" i="4"/>
  <c r="J307" i="4"/>
  <c r="I307" i="4"/>
  <c r="H307" i="4"/>
  <c r="G307" i="4"/>
  <c r="F307" i="4"/>
  <c r="E307" i="4"/>
  <c r="D307" i="4"/>
  <c r="C307" i="4"/>
  <c r="B307" i="4"/>
  <c r="J304" i="4"/>
  <c r="B304" i="4"/>
  <c r="O7" i="6"/>
  <c r="O8" i="6"/>
  <c r="M7" i="6"/>
  <c r="C19" i="6"/>
  <c r="L322" i="4"/>
  <c r="L324" i="4"/>
  <c r="L325" i="4"/>
  <c r="L326" i="4"/>
  <c r="L320" i="4"/>
  <c r="L319" i="4"/>
  <c r="L318" i="4"/>
  <c r="L317" i="4"/>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H100" i="4" s="1"/>
  <c r="J98" i="4"/>
  <c r="K98" i="4"/>
  <c r="L98" i="4"/>
  <c r="M98" i="4"/>
  <c r="N98" i="4"/>
  <c r="O98" i="4"/>
  <c r="P98" i="4"/>
  <c r="Q98" i="4"/>
  <c r="R98" i="4"/>
  <c r="C103" i="4"/>
  <c r="C98" i="4"/>
  <c r="X104" i="4"/>
  <c r="W104" i="4"/>
  <c r="V104" i="4"/>
  <c r="U104" i="4"/>
  <c r="T104" i="4"/>
  <c r="S104" i="4"/>
  <c r="R104" i="4"/>
  <c r="R105" i="4" s="1"/>
  <c r="Q104" i="4"/>
  <c r="P104" i="4"/>
  <c r="O104" i="4"/>
  <c r="N105" i="4"/>
  <c r="N104" i="4"/>
  <c r="M104" i="4"/>
  <c r="L104" i="4"/>
  <c r="K104" i="4"/>
  <c r="J104" i="4"/>
  <c r="I104" i="4"/>
  <c r="H104" i="4"/>
  <c r="G104" i="4"/>
  <c r="F104" i="4"/>
  <c r="E104" i="4"/>
  <c r="E105" i="4" s="1"/>
  <c r="D104" i="4"/>
  <c r="C104" i="4"/>
  <c r="B105" i="4" s="1"/>
  <c r="B104" i="4"/>
  <c r="L102" i="4"/>
  <c r="H102" i="4"/>
  <c r="B102" i="4"/>
  <c r="X99" i="4"/>
  <c r="W99" i="4"/>
  <c r="V99" i="4"/>
  <c r="U99" i="4"/>
  <c r="T99" i="4"/>
  <c r="S99" i="4"/>
  <c r="R100" i="4" s="1"/>
  <c r="R99" i="4"/>
  <c r="Q99" i="4"/>
  <c r="P99" i="4"/>
  <c r="O99" i="4"/>
  <c r="N99" i="4"/>
  <c r="M99" i="4"/>
  <c r="L99" i="4"/>
  <c r="K99" i="4"/>
  <c r="J99" i="4"/>
  <c r="I99" i="4"/>
  <c r="H99" i="4"/>
  <c r="G99" i="4"/>
  <c r="F99" i="4"/>
  <c r="E99" i="4"/>
  <c r="E100" i="4" s="1"/>
  <c r="D99" i="4"/>
  <c r="C99" i="4"/>
  <c r="B99" i="4"/>
  <c r="L97" i="4"/>
  <c r="H97" i="4"/>
  <c r="B97" i="4"/>
  <c r="X95" i="4"/>
  <c r="W95" i="4"/>
  <c r="V95" i="4"/>
  <c r="U95" i="4"/>
  <c r="T95" i="4"/>
  <c r="S95" i="4"/>
  <c r="R95" i="4"/>
  <c r="Q95" i="4"/>
  <c r="P95" i="4"/>
  <c r="O95" i="4"/>
  <c r="N95" i="4"/>
  <c r="M95" i="4"/>
  <c r="L95" i="4"/>
  <c r="K95" i="4"/>
  <c r="J95" i="4"/>
  <c r="I95" i="4"/>
  <c r="H95" i="4"/>
  <c r="G95" i="4"/>
  <c r="F95" i="4"/>
  <c r="E95" i="4"/>
  <c r="D95" i="4"/>
  <c r="D92" i="4" s="1"/>
  <c r="F92" i="4" s="1"/>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5" i="7"/>
  <c r="K23" i="7"/>
  <c r="J26" i="7"/>
  <c r="J25" i="7"/>
  <c r="J23" i="7"/>
  <c r="G27" i="7"/>
  <c r="G26" i="7"/>
  <c r="F26" i="7"/>
  <c r="G25" i="7"/>
  <c r="F25" i="7"/>
  <c r="G24" i="7"/>
  <c r="F24" i="7"/>
  <c r="G23" i="7"/>
  <c r="F23" i="7"/>
  <c r="D27" i="7"/>
  <c r="D24" i="7"/>
  <c r="B31" i="6"/>
  <c r="B30" i="6"/>
  <c r="B29" i="6"/>
  <c r="B28" i="6"/>
  <c r="B27" i="6"/>
  <c r="B35" i="6"/>
  <c r="B34" i="6"/>
  <c r="B33" i="6"/>
  <c r="B32" i="6"/>
  <c r="U35" i="7"/>
  <c r="U34" i="7"/>
  <c r="U33" i="7"/>
  <c r="U32" i="7"/>
  <c r="U31" i="7"/>
  <c r="U30" i="7"/>
  <c r="P32" i="7"/>
  <c r="P31" i="7"/>
  <c r="Q34" i="7"/>
  <c r="P29" i="7"/>
  <c r="U20" i="7"/>
  <c r="Q17" i="7"/>
  <c r="U16" i="7"/>
  <c r="U13" i="7"/>
  <c r="Q12" i="7"/>
  <c r="U11" i="7"/>
  <c r="Q3" i="7"/>
  <c r="E17" i="7"/>
  <c r="E16" i="7"/>
  <c r="E15" i="7"/>
  <c r="E13" i="7"/>
  <c r="B52" i="1"/>
  <c r="B50" i="1"/>
  <c r="B55" i="1"/>
  <c r="C27" i="1" s="1"/>
  <c r="D27" i="1"/>
  <c r="I69" i="7" s="1"/>
  <c r="D24" i="1"/>
  <c r="E29" i="1" s="1"/>
  <c r="C18" i="1"/>
  <c r="H8" i="7" s="1"/>
  <c r="C161" i="6"/>
  <c r="C162" i="6"/>
  <c r="C160" i="6"/>
  <c r="C159" i="6"/>
  <c r="C158" i="6"/>
  <c r="C25" i="6"/>
  <c r="M21" i="6"/>
  <c r="C140" i="6"/>
  <c r="C18" i="6"/>
  <c r="D25" i="7" s="1"/>
  <c r="F108" i="1"/>
  <c r="C113" i="1" s="1"/>
  <c r="C152" i="1"/>
  <c r="C150" i="1"/>
  <c r="C148" i="1"/>
  <c r="N33" i="1"/>
  <c r="C131" i="1"/>
  <c r="B25" i="1"/>
  <c r="J30" i="6"/>
  <c r="E191" i="6" s="1"/>
  <c r="G30" i="6"/>
  <c r="E182" i="6" s="1"/>
  <c r="J29" i="6"/>
  <c r="B188" i="6" s="1"/>
  <c r="G29" i="6"/>
  <c r="J28" i="6"/>
  <c r="C185" i="6" s="1"/>
  <c r="J27" i="6"/>
  <c r="G28" i="6"/>
  <c r="G27" i="6"/>
  <c r="W35" i="6"/>
  <c r="B100" i="6"/>
  <c r="B97" i="6"/>
  <c r="B98"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U256" i="4"/>
  <c r="X231" i="4"/>
  <c r="W231" i="4"/>
  <c r="V231" i="4"/>
  <c r="U231" i="4"/>
  <c r="T231" i="4"/>
  <c r="S231" i="4"/>
  <c r="R231" i="4"/>
  <c r="Q231" i="4"/>
  <c r="P231" i="4"/>
  <c r="O231" i="4"/>
  <c r="N231" i="4"/>
  <c r="M231" i="4"/>
  <c r="L231" i="4"/>
  <c r="K231" i="4"/>
  <c r="J231" i="4"/>
  <c r="I231" i="4"/>
  <c r="H231" i="4"/>
  <c r="G231" i="4"/>
  <c r="F231" i="4"/>
  <c r="E231" i="4"/>
  <c r="D231" i="4"/>
  <c r="D228" i="4" s="1"/>
  <c r="F228" i="4" s="1"/>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c r="L196" i="4" s="1"/>
  <c r="R334" i="4"/>
  <c r="R335" i="4"/>
  <c r="R336" i="4"/>
  <c r="R337" i="4"/>
  <c r="R338" i="4"/>
  <c r="R339" i="4"/>
  <c r="S195" i="4"/>
  <c r="T195" i="4" s="1"/>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E136" i="4"/>
  <c r="F136" i="4"/>
  <c r="G136" i="4"/>
  <c r="H136" i="4"/>
  <c r="I136" i="4"/>
  <c r="J136" i="4"/>
  <c r="K136" i="4"/>
  <c r="L136" i="4"/>
  <c r="M136" i="4"/>
  <c r="N136" i="4"/>
  <c r="O136" i="4"/>
  <c r="P136" i="4"/>
  <c r="Q136" i="4"/>
  <c r="R136" i="4"/>
  <c r="S136" i="4"/>
  <c r="T136" i="4"/>
  <c r="U136" i="4"/>
  <c r="V136" i="4"/>
  <c r="W136" i="4"/>
  <c r="X136" i="4"/>
  <c r="J133" i="4"/>
  <c r="N4" i="3"/>
  <c r="M4" i="3" s="1"/>
  <c r="H4" i="3" s="1"/>
  <c r="J4" i="3"/>
  <c r="L4" i="3" s="1"/>
  <c r="K4" i="3"/>
  <c r="V4" i="3" s="1"/>
  <c r="I4" i="3"/>
  <c r="B113" i="4"/>
  <c r="C35" i="6"/>
  <c r="M18" i="6"/>
  <c r="C184"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7" i="1"/>
  <c r="D29"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D31" i="4" s="1"/>
  <c r="F31" i="4" s="1"/>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D36" i="4" s="1"/>
  <c r="F36" i="4" s="1"/>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D51" i="4" s="1"/>
  <c r="F51" i="4" s="1"/>
  <c r="C54" i="4"/>
  <c r="D54" i="4"/>
  <c r="E54" i="4"/>
  <c r="F54" i="4"/>
  <c r="G54" i="4"/>
  <c r="H54" i="4"/>
  <c r="I54" i="4"/>
  <c r="J54" i="4"/>
  <c r="K54" i="4"/>
  <c r="L54" i="4"/>
  <c r="M54" i="4"/>
  <c r="N54" i="4"/>
  <c r="O54" i="4"/>
  <c r="P54" i="4"/>
  <c r="Q54" i="4"/>
  <c r="R54" i="4"/>
  <c r="S54" i="4"/>
  <c r="T54" i="4"/>
  <c r="U54" i="4"/>
  <c r="V54" i="4"/>
  <c r="W54" i="4"/>
  <c r="X54" i="4"/>
  <c r="J51" i="4"/>
  <c r="B59" i="4"/>
  <c r="C59" i="4"/>
  <c r="D59" i="4"/>
  <c r="E59" i="4"/>
  <c r="F59" i="4"/>
  <c r="G59" i="4"/>
  <c r="H59" i="4"/>
  <c r="I59" i="4"/>
  <c r="J59" i="4"/>
  <c r="K59" i="4"/>
  <c r="L59" i="4"/>
  <c r="M59" i="4"/>
  <c r="N59" i="4"/>
  <c r="O59" i="4"/>
  <c r="P59" i="4"/>
  <c r="D56" i="4" s="1"/>
  <c r="F56" i="4" s="1"/>
  <c r="Q59" i="4"/>
  <c r="R59" i="4"/>
  <c r="S59" i="4"/>
  <c r="T59" i="4"/>
  <c r="U59" i="4"/>
  <c r="V59" i="4"/>
  <c r="W59" i="4"/>
  <c r="X59" i="4"/>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D72" i="4" s="1"/>
  <c r="F72" i="4" s="1"/>
  <c r="I75" i="4"/>
  <c r="J75" i="4"/>
  <c r="K75" i="4"/>
  <c r="L75" i="4"/>
  <c r="M75" i="4"/>
  <c r="N75" i="4"/>
  <c r="O75" i="4"/>
  <c r="P75" i="4"/>
  <c r="Q75" i="4"/>
  <c r="R75" i="4"/>
  <c r="S75" i="4"/>
  <c r="T75" i="4"/>
  <c r="U75" i="4"/>
  <c r="V75" i="4"/>
  <c r="W75" i="4"/>
  <c r="X75" i="4"/>
  <c r="J72" i="4"/>
  <c r="B80" i="4"/>
  <c r="C80" i="4"/>
  <c r="D80" i="4"/>
  <c r="E80" i="4"/>
  <c r="F80" i="4"/>
  <c r="D77" i="4" s="1"/>
  <c r="F77" i="4" s="1"/>
  <c r="G80" i="4"/>
  <c r="H80" i="4"/>
  <c r="I80" i="4"/>
  <c r="J80" i="4"/>
  <c r="K80" i="4"/>
  <c r="L80" i="4"/>
  <c r="M80" i="4"/>
  <c r="N80" i="4"/>
  <c r="O80" i="4"/>
  <c r="P80" i="4"/>
  <c r="Q80" i="4"/>
  <c r="R80" i="4"/>
  <c r="S80" i="4"/>
  <c r="T80" i="4"/>
  <c r="U80" i="4"/>
  <c r="V80" i="4"/>
  <c r="W80" i="4"/>
  <c r="X80" i="4"/>
  <c r="J77" i="4"/>
  <c r="C84" i="4"/>
  <c r="B84" i="4"/>
  <c r="D84" i="4"/>
  <c r="E84" i="4"/>
  <c r="D85" i="4" s="1"/>
  <c r="F84" i="4"/>
  <c r="G84" i="4"/>
  <c r="F85" i="4" s="1"/>
  <c r="H84" i="4"/>
  <c r="G85" i="4" s="1"/>
  <c r="I84" i="4"/>
  <c r="H85" i="4" s="1"/>
  <c r="J84" i="4"/>
  <c r="K84" i="4"/>
  <c r="K85" i="4" s="1"/>
  <c r="L84" i="4"/>
  <c r="M84" i="4"/>
  <c r="N84" i="4"/>
  <c r="O84" i="4"/>
  <c r="N85" i="4" s="1"/>
  <c r="P84" i="4"/>
  <c r="Q84" i="4"/>
  <c r="R84" i="4"/>
  <c r="S84" i="4"/>
  <c r="S85" i="4" s="1"/>
  <c r="T84" i="4"/>
  <c r="U84" i="4"/>
  <c r="V84" i="4"/>
  <c r="W84" i="4"/>
  <c r="V85" i="4" s="1"/>
  <c r="X84" i="4"/>
  <c r="W85" i="4" s="1"/>
  <c r="H82" i="4"/>
  <c r="L82" i="4"/>
  <c r="C89" i="4"/>
  <c r="C90" i="4" s="1"/>
  <c r="B89" i="4"/>
  <c r="D89" i="4"/>
  <c r="E89" i="4"/>
  <c r="F89" i="4"/>
  <c r="F90" i="4" s="1"/>
  <c r="G89" i="4"/>
  <c r="H89" i="4"/>
  <c r="G90" i="4" s="1"/>
  <c r="I89" i="4"/>
  <c r="J89" i="4"/>
  <c r="J90" i="4" s="1"/>
  <c r="K89" i="4"/>
  <c r="L89" i="4"/>
  <c r="M89" i="4"/>
  <c r="N89" i="4"/>
  <c r="O89" i="4"/>
  <c r="P89" i="4"/>
  <c r="O90" i="4" s="1"/>
  <c r="Q89" i="4"/>
  <c r="R89" i="4"/>
  <c r="Q90" i="4" s="1"/>
  <c r="S89" i="4"/>
  <c r="T89" i="4"/>
  <c r="U89" i="4"/>
  <c r="T90" i="4" s="1"/>
  <c r="V89" i="4"/>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C141" i="4"/>
  <c r="D141" i="4"/>
  <c r="E141" i="4"/>
  <c r="F141" i="4"/>
  <c r="G141" i="4"/>
  <c r="H141" i="4"/>
  <c r="I141" i="4"/>
  <c r="J141" i="4"/>
  <c r="K141" i="4"/>
  <c r="L141" i="4"/>
  <c r="M141" i="4"/>
  <c r="N141" i="4"/>
  <c r="O141" i="4"/>
  <c r="P141" i="4"/>
  <c r="D138" i="4" s="1"/>
  <c r="F138" i="4" s="1"/>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J156" i="4"/>
  <c r="K156" i="4"/>
  <c r="L156" i="4"/>
  <c r="M156" i="4"/>
  <c r="N156" i="4"/>
  <c r="O156" i="4"/>
  <c r="P156" i="4"/>
  <c r="D153" i="4" s="1"/>
  <c r="F153" i="4" s="1"/>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D173" i="4" s="1"/>
  <c r="F173" i="4" s="1"/>
  <c r="C176" i="4"/>
  <c r="D176" i="4"/>
  <c r="E176" i="4"/>
  <c r="F176" i="4"/>
  <c r="G176" i="4"/>
  <c r="H176" i="4"/>
  <c r="I176" i="4"/>
  <c r="J176" i="4"/>
  <c r="K176" i="4"/>
  <c r="L176" i="4"/>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C186" i="4"/>
  <c r="D186" i="4"/>
  <c r="E186" i="4"/>
  <c r="F186" i="4"/>
  <c r="G186" i="4"/>
  <c r="H186" i="4"/>
  <c r="D183" i="4" s="1"/>
  <c r="F183" i="4" s="1"/>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D269" i="4" s="1"/>
  <c r="F269" i="4" s="1"/>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4" i="4" s="1"/>
  <c r="F284" i="4" s="1"/>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19" i="6"/>
  <c r="F321" i="4"/>
  <c r="F320" i="4"/>
  <c r="C21" i="5"/>
  <c r="C20" i="5"/>
  <c r="C26" i="5"/>
  <c r="C22" i="5"/>
  <c r="C17" i="5"/>
  <c r="C19" i="5"/>
  <c r="C16" i="5"/>
  <c r="C15" i="5"/>
  <c r="L2" i="6"/>
  <c r="C317" i="4"/>
  <c r="F317" i="4"/>
  <c r="R317" i="4"/>
  <c r="C318" i="4"/>
  <c r="F318" i="4"/>
  <c r="R318" i="4"/>
  <c r="C319" i="4"/>
  <c r="F319" i="4"/>
  <c r="C320" i="4"/>
  <c r="C321" i="4"/>
  <c r="C322" i="4"/>
  <c r="C323" i="4"/>
  <c r="C324" i="4"/>
  <c r="B146" i="2"/>
  <c r="B35" i="1"/>
  <c r="B36" i="6"/>
  <c r="B15" i="8"/>
  <c r="B76" i="2"/>
  <c r="B11" i="8"/>
  <c r="B107" i="1"/>
  <c r="F42" i="5"/>
  <c r="B71" i="8"/>
  <c r="B78" i="8"/>
  <c r="C5" i="8"/>
  <c r="B76" i="8"/>
  <c r="B77" i="8" s="1"/>
  <c r="B74" i="8"/>
  <c r="B73" i="8"/>
  <c r="B79" i="8" s="1"/>
  <c r="B10" i="8"/>
  <c r="C4" i="8"/>
  <c r="C16" i="8"/>
  <c r="C14" i="8"/>
  <c r="C12" i="8"/>
  <c r="B12" i="8"/>
  <c r="C9" i="8"/>
  <c r="C8" i="8"/>
  <c r="B8" i="8"/>
  <c r="C7" i="8"/>
  <c r="N36" i="6"/>
  <c r="C51" i="5"/>
  <c r="C53" i="5"/>
  <c r="T18" i="6"/>
  <c r="S17" i="6"/>
  <c r="S19" i="6"/>
  <c r="S18" i="6"/>
  <c r="S13" i="6"/>
  <c r="S14" i="6"/>
  <c r="S12" i="6"/>
  <c r="T16" i="6"/>
  <c r="T11" i="6"/>
  <c r="L38" i="6"/>
  <c r="B93"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2" i="5"/>
  <c r="A1" i="4"/>
  <c r="A3" i="4"/>
  <c r="A4" i="4"/>
  <c r="B77" i="2"/>
  <c r="B78" i="2"/>
  <c r="B131" i="2"/>
  <c r="B133" i="2"/>
  <c r="B134" i="2"/>
  <c r="B135" i="2"/>
  <c r="B137" i="2"/>
  <c r="B138" i="2"/>
  <c r="B140" i="2"/>
  <c r="B141" i="2"/>
  <c r="B144" i="2"/>
  <c r="C4" i="1"/>
  <c r="C6" i="1"/>
  <c r="C7" i="1"/>
  <c r="C23" i="1" s="1"/>
  <c r="B8" i="1"/>
  <c r="C8" i="1"/>
  <c r="C9" i="1"/>
  <c r="B10" i="1"/>
  <c r="B11" i="1"/>
  <c r="C11" i="1"/>
  <c r="C13" i="1"/>
  <c r="C17" i="1"/>
  <c r="B18" i="1"/>
  <c r="B19" i="1"/>
  <c r="C22" i="1"/>
  <c r="G22" i="1"/>
  <c r="H22" i="1"/>
  <c r="J22" i="1"/>
  <c r="K22" i="1"/>
  <c r="F23" i="1"/>
  <c r="B24" i="1"/>
  <c r="F24" i="1"/>
  <c r="B26" i="1"/>
  <c r="F25" i="1"/>
  <c r="H25" i="1"/>
  <c r="F27" i="1"/>
  <c r="B29" i="1"/>
  <c r="F28" i="1"/>
  <c r="B30" i="1"/>
  <c r="B31" i="1"/>
  <c r="H31" i="1"/>
  <c r="B32" i="1"/>
  <c r="F32" i="1"/>
  <c r="B33" i="1"/>
  <c r="F33" i="1"/>
  <c r="F34" i="1"/>
  <c r="A38" i="1"/>
  <c r="F38" i="1"/>
  <c r="H38" i="1"/>
  <c r="J38" i="1"/>
  <c r="K38" i="1"/>
  <c r="F40" i="1"/>
  <c r="M40" i="1"/>
  <c r="F41" i="1"/>
  <c r="B42" i="1"/>
  <c r="F42" i="1"/>
  <c r="F43" i="1"/>
  <c r="B44" i="1"/>
  <c r="F45" i="1"/>
  <c r="F46" i="1"/>
  <c r="F47" i="1"/>
  <c r="L47" i="1"/>
  <c r="F48" i="1"/>
  <c r="H48" i="1"/>
  <c r="F49" i="1"/>
  <c r="I49" i="1"/>
  <c r="L49" i="1"/>
  <c r="M49" i="1"/>
  <c r="B102" i="1"/>
  <c r="B109" i="1"/>
  <c r="B110" i="1"/>
  <c r="B111" i="1"/>
  <c r="B112" i="1"/>
  <c r="B113" i="1"/>
  <c r="B117" i="1"/>
  <c r="C140" i="1"/>
  <c r="C142" i="1"/>
  <c r="C144" i="1"/>
  <c r="B148" i="1"/>
  <c r="C4" i="6"/>
  <c r="C6" i="6"/>
  <c r="L6" i="6"/>
  <c r="C7" i="6"/>
  <c r="L7" i="6"/>
  <c r="B8" i="6"/>
  <c r="L8" i="6"/>
  <c r="L9" i="6"/>
  <c r="B11" i="6"/>
  <c r="M11" i="6"/>
  <c r="N11" i="6"/>
  <c r="P11" i="6"/>
  <c r="B12" i="6"/>
  <c r="L12" i="6"/>
  <c r="B13" i="6"/>
  <c r="L13" i="6"/>
  <c r="B14" i="6"/>
  <c r="L14" i="6"/>
  <c r="L15" i="6"/>
  <c r="C16" i="6"/>
  <c r="B18" i="6"/>
  <c r="L18" i="6"/>
  <c r="L19" i="6"/>
  <c r="C20" i="6"/>
  <c r="L20" i="6"/>
  <c r="B21" i="6"/>
  <c r="L21" i="6"/>
  <c r="B22" i="6"/>
  <c r="L22" i="6"/>
  <c r="B23" i="6"/>
  <c r="D25" i="6"/>
  <c r="F26" i="6"/>
  <c r="H26" i="6"/>
  <c r="E27" i="6"/>
  <c r="F28" i="6"/>
  <c r="F29" i="6"/>
  <c r="F30" i="6"/>
  <c r="E31" i="6"/>
  <c r="E32" i="6"/>
  <c r="D35" i="6"/>
  <c r="B91" i="6"/>
  <c r="B96" i="6"/>
  <c r="B103" i="6"/>
  <c r="B104" i="6"/>
  <c r="B105" i="6"/>
  <c r="B107" i="6"/>
  <c r="B108" i="6"/>
  <c r="B109" i="6"/>
  <c r="B114" i="6"/>
  <c r="B115" i="6"/>
  <c r="B117" i="6"/>
  <c r="B118" i="6"/>
  <c r="B119" i="6"/>
  <c r="B121" i="6"/>
  <c r="C124" i="6"/>
  <c r="E124" i="6"/>
  <c r="C125" i="6"/>
  <c r="C126" i="6"/>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85" i="4"/>
  <c r="O85" i="4"/>
  <c r="M85" i="4"/>
  <c r="R216" i="4"/>
  <c r="V115" i="4"/>
  <c r="W115" i="4" s="1"/>
  <c r="D133" i="4"/>
  <c r="F133" i="4" s="1"/>
  <c r="J87" i="4"/>
  <c r="S90" i="4"/>
  <c r="K90" i="4"/>
  <c r="I90" i="4"/>
  <c r="T214" i="4"/>
  <c r="U214" i="4" s="1"/>
  <c r="V214" i="4" s="1"/>
  <c r="W214" i="4" s="1"/>
  <c r="E85" i="4"/>
  <c r="T85" i="4"/>
  <c r="R85" i="4"/>
  <c r="P85" i="4"/>
  <c r="L85" i="4"/>
  <c r="J85" i="4"/>
  <c r="B85" i="4"/>
  <c r="V90" i="4"/>
  <c r="R90" i="4"/>
  <c r="N90" i="4"/>
  <c r="L90" i="4"/>
  <c r="U165" i="4"/>
  <c r="T166" i="4" s="1"/>
  <c r="K196" i="4"/>
  <c r="T211" i="4"/>
  <c r="B189" i="6"/>
  <c r="S226" i="4"/>
  <c r="N194" i="4"/>
  <c r="O194" i="4" s="1"/>
  <c r="S251" i="4"/>
  <c r="L246" i="4"/>
  <c r="K246" i="4"/>
  <c r="R251" i="4"/>
  <c r="U116" i="4"/>
  <c r="U211" i="4"/>
  <c r="M246" i="4"/>
  <c r="V250" i="4"/>
  <c r="U251" i="4" s="1"/>
  <c r="T251" i="4"/>
  <c r="V211" i="4"/>
  <c r="N246" i="4"/>
  <c r="X245" i="4"/>
  <c r="X246" i="4" s="1"/>
  <c r="W211" i="4"/>
  <c r="X211" i="4"/>
  <c r="O246" i="4"/>
  <c r="P246" i="4"/>
  <c r="Q246" i="4"/>
  <c r="R246" i="4"/>
  <c r="S246" i="4"/>
  <c r="T246" i="4"/>
  <c r="U246" i="4"/>
  <c r="X244" i="4"/>
  <c r="V246" i="4"/>
  <c r="C197" i="6"/>
  <c r="U125" i="4"/>
  <c r="V125" i="4" s="1"/>
  <c r="R241" i="4"/>
  <c r="T126" i="4"/>
  <c r="C198" i="6"/>
  <c r="C182" i="6"/>
  <c r="P14" i="6"/>
  <c r="E11" i="7" s="1"/>
  <c r="P15" i="6"/>
  <c r="H42" i="7" s="1"/>
  <c r="C133" i="6"/>
  <c r="C163" i="6"/>
  <c r="C136" i="6"/>
  <c r="S191" i="4"/>
  <c r="O21" i="6"/>
  <c r="C167" i="6"/>
  <c r="C166" i="6"/>
  <c r="D161" i="6"/>
  <c r="E161" i="6" s="1"/>
  <c r="D158" i="6"/>
  <c r="E158" i="6" s="1"/>
  <c r="D162" i="6"/>
  <c r="E162" i="6" s="1"/>
  <c r="D160" i="6"/>
  <c r="E160" i="6" s="1"/>
  <c r="D159" i="6"/>
  <c r="E159" i="6" s="1"/>
  <c r="D166" i="6"/>
  <c r="E166" i="6" s="1"/>
  <c r="D167" i="6"/>
  <c r="E167" i="6" s="1"/>
  <c r="D163" i="6"/>
  <c r="E163" i="6" s="1"/>
  <c r="D165" i="6"/>
  <c r="E165" i="6" s="1"/>
  <c r="D164" i="6"/>
  <c r="E164" i="6" s="1"/>
  <c r="C165" i="6"/>
  <c r="O22" i="6"/>
  <c r="M22" i="6"/>
  <c r="C164" i="6"/>
  <c r="S206" i="4"/>
  <c r="R206" i="4"/>
  <c r="T206" i="4"/>
  <c r="U206" i="4"/>
  <c r="X205" i="4"/>
  <c r="W206" i="4" s="1"/>
  <c r="V206" i="4"/>
  <c r="X100" i="4"/>
  <c r="L105" i="4"/>
  <c r="G105" i="4"/>
  <c r="K105" i="4"/>
  <c r="O105" i="4"/>
  <c r="S100" i="4"/>
  <c r="U100" i="4"/>
  <c r="Q100" i="4"/>
  <c r="E192" i="6" l="1"/>
  <c r="E188" i="6"/>
  <c r="X115" i="4"/>
  <c r="V116" i="4"/>
  <c r="E127" i="7"/>
  <c r="E8" i="7"/>
  <c r="H69" i="7"/>
  <c r="U120" i="4"/>
  <c r="C148" i="6"/>
  <c r="W90" i="4"/>
  <c r="D178" i="4"/>
  <c r="F178" i="4" s="1"/>
  <c r="D168" i="4"/>
  <c r="F168" i="4" s="1"/>
  <c r="P90" i="4"/>
  <c r="J82" i="4"/>
  <c r="I85" i="4"/>
  <c r="I105" i="4"/>
  <c r="J105" i="4"/>
  <c r="V100" i="4"/>
  <c r="W130" i="4"/>
  <c r="V131" i="4" s="1"/>
  <c r="X85" i="4"/>
  <c r="D279" i="4"/>
  <c r="F279" i="4" s="1"/>
  <c r="D258" i="4"/>
  <c r="F258" i="4" s="1"/>
  <c r="M90" i="4"/>
  <c r="G100" i="4"/>
  <c r="C105" i="4"/>
  <c r="R201" i="4"/>
  <c r="J100" i="4"/>
  <c r="D61" i="4"/>
  <c r="F61" i="4" s="1"/>
  <c r="D41" i="4"/>
  <c r="F41" i="4" s="1"/>
  <c r="V165" i="4"/>
  <c r="U166" i="4" s="1"/>
  <c r="D158" i="4"/>
  <c r="F158" i="4" s="1"/>
  <c r="D143" i="4"/>
  <c r="F143" i="4" s="1"/>
  <c r="H90" i="4"/>
  <c r="Q85" i="4"/>
  <c r="T234" i="4"/>
  <c r="U234" i="4" s="1"/>
  <c r="V234" i="4" s="1"/>
  <c r="W234" i="4" s="1"/>
  <c r="L100" i="4"/>
  <c r="P105" i="4"/>
  <c r="P100" i="4"/>
  <c r="T105" i="4"/>
  <c r="D274" i="4"/>
  <c r="F274" i="4" s="1"/>
  <c r="U90" i="4"/>
  <c r="Q105" i="4"/>
  <c r="M196" i="4"/>
  <c r="M20" i="6"/>
  <c r="S105" i="4"/>
  <c r="D218" i="4"/>
  <c r="F218" i="4" s="1"/>
  <c r="E90" i="4"/>
  <c r="D90" i="4"/>
  <c r="B100" i="4"/>
  <c r="D67" i="4"/>
  <c r="F67" i="4" s="1"/>
  <c r="D46" i="4"/>
  <c r="F46" i="4" s="1"/>
  <c r="D26" i="4"/>
  <c r="F26" i="4" s="1"/>
  <c r="X105" i="4"/>
  <c r="E185" i="6"/>
  <c r="W116" i="4"/>
  <c r="X116" i="4"/>
  <c r="U239" i="4"/>
  <c r="V239" i="4" s="1"/>
  <c r="W239" i="4" s="1"/>
  <c r="X239" i="4" s="1"/>
  <c r="S241" i="4"/>
  <c r="U126" i="4"/>
  <c r="W125" i="4"/>
  <c r="S216" i="4"/>
  <c r="U215" i="4"/>
  <c r="T216" i="4" s="1"/>
  <c r="D309" i="4"/>
  <c r="F309" i="4" s="1"/>
  <c r="D299" i="4"/>
  <c r="F299" i="4" s="1"/>
  <c r="D294" i="4"/>
  <c r="F294" i="4" s="1"/>
  <c r="D208" i="4"/>
  <c r="F208" i="4" s="1"/>
  <c r="B90" i="4"/>
  <c r="U110" i="4"/>
  <c r="J97" i="4"/>
  <c r="F100" i="4"/>
  <c r="N100" i="4"/>
  <c r="T100" i="4"/>
  <c r="V105" i="4"/>
  <c r="C100" i="4"/>
  <c r="W100" i="4"/>
  <c r="H105" i="4"/>
  <c r="U105" i="4"/>
  <c r="D126" i="6"/>
  <c r="W250" i="4"/>
  <c r="X250" i="4" s="1"/>
  <c r="X251" i="4" s="1"/>
  <c r="D289" i="4"/>
  <c r="F289" i="4" s="1"/>
  <c r="X130" i="4"/>
  <c r="W246" i="4"/>
  <c r="D243" i="4" s="1"/>
  <c r="F243" i="4" s="1"/>
  <c r="C85" i="4"/>
  <c r="B199" i="6"/>
  <c r="D100" i="4"/>
  <c r="J102" i="4"/>
  <c r="F105" i="4"/>
  <c r="M105" i="4"/>
  <c r="E186" i="6"/>
  <c r="E187" i="6"/>
  <c r="J24" i="7"/>
  <c r="D304" i="4"/>
  <c r="F304" i="4" s="1"/>
  <c r="U200" i="4"/>
  <c r="S201" i="4"/>
  <c r="N196" i="4"/>
  <c r="P194" i="4"/>
  <c r="T191" i="4"/>
  <c r="V190" i="4"/>
  <c r="T226" i="4"/>
  <c r="V225" i="4"/>
  <c r="X255" i="4"/>
  <c r="V256" i="4"/>
  <c r="X240" i="4"/>
  <c r="V241" i="4"/>
  <c r="W251" i="4"/>
  <c r="U235" i="4"/>
  <c r="S236" i="4"/>
  <c r="D113" i="4"/>
  <c r="F113" i="4" s="1"/>
  <c r="K100" i="4"/>
  <c r="M100" i="4"/>
  <c r="O100" i="4"/>
  <c r="D105" i="4"/>
  <c r="W105" i="4"/>
  <c r="I100" i="4"/>
  <c r="X206" i="4"/>
  <c r="D203" i="4" s="1"/>
  <c r="F203" i="4" s="1"/>
  <c r="V215" i="4"/>
  <c r="B2" i="4"/>
  <c r="M24" i="6"/>
  <c r="K24" i="7"/>
  <c r="F94" i="7"/>
  <c r="M23" i="6"/>
  <c r="B57" i="8"/>
  <c r="C57" i="8" s="1"/>
  <c r="C14" i="1"/>
  <c r="H51" i="7" s="1"/>
  <c r="B59" i="8"/>
  <c r="C59" i="8" s="1"/>
  <c r="D178" i="6"/>
  <c r="E178" i="6" s="1"/>
  <c r="C34" i="6"/>
  <c r="E56" i="7" s="1"/>
  <c r="B61" i="8"/>
  <c r="C61" i="8" s="1"/>
  <c r="E40" i="7"/>
  <c r="O23" i="6"/>
  <c r="O24" i="6"/>
  <c r="B53" i="8"/>
  <c r="C53" i="8" s="1"/>
  <c r="B63" i="8"/>
  <c r="C63" i="8" s="1"/>
  <c r="B67" i="8"/>
  <c r="C67" i="8" s="1"/>
  <c r="B62" i="8"/>
  <c r="C62" i="8" s="1"/>
  <c r="B65" i="8"/>
  <c r="C65" i="8" s="1"/>
  <c r="H27" i="6"/>
  <c r="H45" i="7" s="1"/>
  <c r="C15" i="8"/>
  <c r="B66" i="8"/>
  <c r="C66" i="8" s="1"/>
  <c r="B54" i="8"/>
  <c r="C54" i="8" s="1"/>
  <c r="B56" i="8"/>
  <c r="C56" i="8" s="1"/>
  <c r="B60" i="8"/>
  <c r="C60" i="8" s="1"/>
  <c r="O18" i="6"/>
  <c r="D34" i="6"/>
  <c r="B52" i="8"/>
  <c r="C52" i="8" s="1"/>
  <c r="D26" i="7"/>
  <c r="B51" i="8"/>
  <c r="C51" i="8" s="1"/>
  <c r="B58" i="8"/>
  <c r="C58" i="8" s="1"/>
  <c r="B64" i="8"/>
  <c r="C64" i="8" s="1"/>
  <c r="B50" i="8"/>
  <c r="C50" i="8" s="1"/>
  <c r="B55" i="8"/>
  <c r="C55" i="8" s="1"/>
  <c r="T14" i="6"/>
  <c r="C173" i="6"/>
  <c r="C172" i="6"/>
  <c r="D23" i="7"/>
  <c r="E108" i="7"/>
  <c r="C195" i="6"/>
  <c r="A317" i="4" a="1"/>
  <c r="A341" i="4" s="1"/>
  <c r="D148" i="4"/>
  <c r="F148" i="4" s="1"/>
  <c r="E107" i="7"/>
  <c r="H27" i="1"/>
  <c r="H67" i="7"/>
  <c r="H17" i="7"/>
  <c r="B106" i="1"/>
  <c r="E24" i="1"/>
  <c r="B108" i="1"/>
  <c r="H46" i="1"/>
  <c r="B157" i="1"/>
  <c r="B131" i="1"/>
  <c r="G4" i="3"/>
  <c r="C139" i="6"/>
  <c r="C134" i="6"/>
  <c r="C143" i="6"/>
  <c r="C146" i="6"/>
  <c r="AD4" i="3"/>
  <c r="E190" i="6"/>
  <c r="D30" i="1"/>
  <c r="I68" i="7" s="1"/>
  <c r="C10" i="8"/>
  <c r="AE4" i="3"/>
  <c r="B197" i="6"/>
  <c r="T19" i="6"/>
  <c r="C142" i="6"/>
  <c r="C141" i="6"/>
  <c r="C145" i="6"/>
  <c r="I71" i="7"/>
  <c r="H5" i="7"/>
  <c r="B75" i="8"/>
  <c r="C196" i="6"/>
  <c r="B196" i="6" s="1"/>
  <c r="C147" i="6"/>
  <c r="E42" i="7"/>
  <c r="E193" i="6"/>
  <c r="E189" i="6"/>
  <c r="C183" i="6"/>
  <c r="J90" i="7"/>
  <c r="F118" i="7" s="1"/>
  <c r="C132" i="6"/>
  <c r="F27" i="7"/>
  <c r="H41" i="7"/>
  <c r="C137" i="6"/>
  <c r="C135" i="6"/>
  <c r="C138" i="6"/>
  <c r="E33" i="6"/>
  <c r="C144" i="6"/>
  <c r="T17" i="6"/>
  <c r="E14" i="7"/>
  <c r="B201" i="6"/>
  <c r="C201" i="6" s="1"/>
  <c r="B186" i="6"/>
  <c r="B200" i="6"/>
  <c r="C200" i="6" s="1"/>
  <c r="E183" i="6"/>
  <c r="B187" i="6"/>
  <c r="E184" i="6"/>
  <c r="B202" i="6"/>
  <c r="W3" i="4"/>
  <c r="T241" i="4" l="1"/>
  <c r="U241" i="4"/>
  <c r="D82" i="4"/>
  <c r="F82" i="4" s="1"/>
  <c r="T121" i="4"/>
  <c r="V120" i="4"/>
  <c r="D97" i="4"/>
  <c r="F97" i="4" s="1"/>
  <c r="W165" i="4"/>
  <c r="X165" i="4" s="1"/>
  <c r="D87" i="4"/>
  <c r="F87" i="4" s="1"/>
  <c r="V166" i="4"/>
  <c r="V126" i="4"/>
  <c r="X125" i="4"/>
  <c r="V251" i="4"/>
  <c r="D248" i="4" s="1"/>
  <c r="F248" i="4" s="1"/>
  <c r="X131" i="4"/>
  <c r="W131" i="4"/>
  <c r="V110" i="4"/>
  <c r="T111" i="4"/>
  <c r="D102" i="4"/>
  <c r="F102" i="4" s="1"/>
  <c r="E126" i="6"/>
  <c r="D127" i="6"/>
  <c r="W225" i="4"/>
  <c r="U226" i="4"/>
  <c r="Q194" i="4"/>
  <c r="O196" i="4"/>
  <c r="X256" i="4"/>
  <c r="W256" i="4"/>
  <c r="D253" i="4" s="1"/>
  <c r="T201" i="4"/>
  <c r="V200" i="4"/>
  <c r="W215" i="4"/>
  <c r="U216" i="4"/>
  <c r="T236" i="4"/>
  <c r="V235" i="4"/>
  <c r="X241" i="4"/>
  <c r="W241" i="4"/>
  <c r="U191" i="4"/>
  <c r="W190" i="4"/>
  <c r="D157" i="6"/>
  <c r="D137" i="6"/>
  <c r="W4" i="3"/>
  <c r="D139" i="6"/>
  <c r="D133" i="6"/>
  <c r="E133" i="6" s="1"/>
  <c r="D156" i="6"/>
  <c r="D135" i="6"/>
  <c r="E135" i="6" s="1"/>
  <c r="E52" i="7"/>
  <c r="D140" i="6"/>
  <c r="E30" i="6"/>
  <c r="E28" i="6" s="1"/>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49" i="1"/>
  <c r="R27"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J4" i="4"/>
  <c r="O3" i="4"/>
  <c r="E3" i="4"/>
  <c r="B3" i="4"/>
  <c r="X2" i="4"/>
  <c r="T2" i="4"/>
  <c r="C4" i="4"/>
  <c r="X4" i="4"/>
  <c r="E4" i="4"/>
  <c r="Y3" i="4"/>
  <c r="F4" i="4"/>
  <c r="V3" i="4"/>
  <c r="O4" i="4"/>
  <c r="K4" i="4"/>
  <c r="D3" i="4"/>
  <c r="J3" i="4"/>
  <c r="J2" i="4"/>
  <c r="H4" i="4"/>
  <c r="F3" i="4"/>
  <c r="P2" i="4"/>
  <c r="V4" i="4"/>
  <c r="Y4" i="4"/>
  <c r="R3" i="4"/>
  <c r="Z2" i="4"/>
  <c r="X3" i="4"/>
  <c r="T3" i="4"/>
  <c r="T4" i="4"/>
  <c r="Q3" i="4"/>
  <c r="P4" i="4"/>
  <c r="N4" i="4"/>
  <c r="N3" i="4"/>
  <c r="S4" i="4"/>
  <c r="G3" i="4"/>
  <c r="M3" i="4"/>
  <c r="I3" i="4"/>
  <c r="G4" i="4"/>
  <c r="R4" i="4"/>
  <c r="R2" i="4"/>
  <c r="C3" i="4"/>
  <c r="D4" i="4"/>
  <c r="I4" i="4"/>
  <c r="W4" i="4"/>
  <c r="L2" i="4"/>
  <c r="H3" i="4"/>
  <c r="V2" i="4"/>
  <c r="N2" i="4"/>
  <c r="U4" i="4"/>
  <c r="B4" i="4"/>
  <c r="L3" i="4"/>
  <c r="H2" i="4"/>
  <c r="S3" i="4"/>
  <c r="L4" i="4"/>
  <c r="K3" i="4"/>
  <c r="M4" i="4"/>
  <c r="Q4" i="4"/>
  <c r="P3" i="4"/>
  <c r="F2" i="4"/>
  <c r="D2" i="4"/>
  <c r="U3" i="4"/>
  <c r="C208" i="6" l="1"/>
  <c r="C210" i="6"/>
  <c r="C209" i="6"/>
  <c r="C206" i="6"/>
  <c r="C207" i="6"/>
  <c r="C205" i="6"/>
  <c r="A5" i="3"/>
  <c r="B5" i="3" s="1"/>
  <c r="Z5" i="3" s="1"/>
  <c r="N12" i="6"/>
  <c r="N14" i="6"/>
  <c r="I41" i="7" s="1"/>
  <c r="N13" i="6"/>
  <c r="D238" i="4"/>
  <c r="W120" i="4"/>
  <c r="U121" i="4"/>
  <c r="D128" i="4"/>
  <c r="F106" i="1"/>
  <c r="F105" i="1"/>
  <c r="F104" i="1"/>
  <c r="H18" i="7"/>
  <c r="F107" i="1"/>
  <c r="F103" i="1"/>
  <c r="E101" i="7"/>
  <c r="C171" i="6"/>
  <c r="C170" i="6"/>
  <c r="E49" i="7"/>
  <c r="E18" i="7"/>
  <c r="T13" i="6"/>
  <c r="T12" i="6"/>
  <c r="C174" i="6"/>
  <c r="M13" i="6"/>
  <c r="D171" i="6"/>
  <c r="B48" i="8"/>
  <c r="C48" i="8" s="1"/>
  <c r="D174" i="6"/>
  <c r="B43" i="8"/>
  <c r="C43" i="8" s="1"/>
  <c r="B49" i="8"/>
  <c r="C49" i="8" s="1"/>
  <c r="B41" i="8"/>
  <c r="C41" i="8" s="1"/>
  <c r="B42" i="8"/>
  <c r="C42" i="8" s="1"/>
  <c r="B44" i="8"/>
  <c r="C44" i="8" s="1"/>
  <c r="D172" i="6"/>
  <c r="D170" i="6"/>
  <c r="D173" i="6"/>
  <c r="B46" i="8"/>
  <c r="C46" i="8" s="1"/>
  <c r="B47" i="8"/>
  <c r="C47" i="8" s="1"/>
  <c r="B45" i="8"/>
  <c r="C45" i="8" s="1"/>
  <c r="D57" i="8"/>
  <c r="E57" i="8" s="1"/>
  <c r="G57" i="8" s="1"/>
  <c r="D66" i="8"/>
  <c r="F66" i="8" s="1"/>
  <c r="I66" i="8" s="1"/>
  <c r="D59" i="8"/>
  <c r="F59" i="8" s="1"/>
  <c r="I59" i="8" s="1"/>
  <c r="D47" i="8"/>
  <c r="E47" i="8" s="1"/>
  <c r="G47" i="8" s="1"/>
  <c r="D51" i="8"/>
  <c r="E51" i="8" s="1"/>
  <c r="G51" i="8" s="1"/>
  <c r="M14" i="6"/>
  <c r="C10" i="1" s="1"/>
  <c r="S4" i="3" s="1"/>
  <c r="T4" i="3" s="1"/>
  <c r="U4" i="3" s="1"/>
  <c r="M12" i="6"/>
  <c r="D52" i="8"/>
  <c r="E52" i="8" s="1"/>
  <c r="H52" i="8" s="1"/>
  <c r="D63" i="8"/>
  <c r="E63" i="8" s="1"/>
  <c r="G63" i="8" s="1"/>
  <c r="D64" i="8"/>
  <c r="E64" i="8" s="1"/>
  <c r="H64" i="8" s="1"/>
  <c r="D53" i="8"/>
  <c r="F53" i="8" s="1"/>
  <c r="I53" i="8" s="1"/>
  <c r="D62" i="8"/>
  <c r="E62" i="8" s="1"/>
  <c r="G62" i="8" s="1"/>
  <c r="D42" i="8"/>
  <c r="E42" i="8" s="1"/>
  <c r="G42" i="8" s="1"/>
  <c r="D65" i="8"/>
  <c r="E65" i="8" s="1"/>
  <c r="G65" i="8" s="1"/>
  <c r="D56" i="8"/>
  <c r="F56" i="8" s="1"/>
  <c r="I56" i="8" s="1"/>
  <c r="D67" i="8"/>
  <c r="F67" i="8" s="1"/>
  <c r="I67" i="8" s="1"/>
  <c r="D55" i="8"/>
  <c r="E55" i="8" s="1"/>
  <c r="G55" i="8" s="1"/>
  <c r="D44" i="8"/>
  <c r="F44" i="8" s="1"/>
  <c r="D60" i="8"/>
  <c r="F60" i="8" s="1"/>
  <c r="I60" i="8" s="1"/>
  <c r="D41" i="8"/>
  <c r="E41" i="8" s="1"/>
  <c r="G41" i="8" s="1"/>
  <c r="D48" i="8"/>
  <c r="F48" i="8" s="1"/>
  <c r="D46" i="8"/>
  <c r="F46" i="8" s="1"/>
  <c r="D45" i="8"/>
  <c r="E45" i="8" s="1"/>
  <c r="G45" i="8" s="1"/>
  <c r="D43" i="8"/>
  <c r="E43" i="8" s="1"/>
  <c r="G43" i="8" s="1"/>
  <c r="D50" i="8"/>
  <c r="F50" i="8" s="1"/>
  <c r="I50" i="8" s="1"/>
  <c r="D61" i="8"/>
  <c r="E61" i="8" s="1"/>
  <c r="H61" i="8" s="1"/>
  <c r="D54" i="8"/>
  <c r="F54" i="8" s="1"/>
  <c r="I54" i="8" s="1"/>
  <c r="D58" i="8"/>
  <c r="E58" i="8" s="1"/>
  <c r="G58" i="8" s="1"/>
  <c r="D49" i="8"/>
  <c r="E49" i="8" s="1"/>
  <c r="G49" i="8" s="1"/>
  <c r="W166" i="4"/>
  <c r="D163" i="4" s="1"/>
  <c r="F163" i="4" s="1"/>
  <c r="X166" i="4"/>
  <c r="E127" i="6"/>
  <c r="D128" i="6"/>
  <c r="W110" i="4"/>
  <c r="U111" i="4"/>
  <c r="X126" i="4"/>
  <c r="W126" i="4"/>
  <c r="D123" i="4" s="1"/>
  <c r="R194" i="4"/>
  <c r="P196" i="4"/>
  <c r="W235" i="4"/>
  <c r="U236" i="4"/>
  <c r="W200" i="4"/>
  <c r="U201" i="4"/>
  <c r="X215" i="4"/>
  <c r="V216" i="4"/>
  <c r="V226" i="4"/>
  <c r="X225" i="4"/>
  <c r="X190" i="4"/>
  <c r="V191" i="4"/>
  <c r="I31" i="6"/>
  <c r="C154" i="6" s="1"/>
  <c r="O19" i="6"/>
  <c r="M19" i="6" s="1"/>
  <c r="H31" i="6" s="1"/>
  <c r="E29" i="6"/>
  <c r="E35" i="6" s="1"/>
  <c r="C191" i="6"/>
  <c r="D153" i="6"/>
  <c r="C192" i="6"/>
  <c r="M15" i="6" l="1"/>
  <c r="J42" i="7" s="1"/>
  <c r="F52" i="8"/>
  <c r="I52" i="8" s="1"/>
  <c r="E50" i="8"/>
  <c r="H50" i="8" s="1"/>
  <c r="H63" i="8"/>
  <c r="K63" i="8" s="1"/>
  <c r="H43" i="8"/>
  <c r="J43" i="8" s="1"/>
  <c r="G52" i="8"/>
  <c r="K52" i="8" s="1"/>
  <c r="J41" i="7"/>
  <c r="E53" i="8"/>
  <c r="H53" i="8" s="1"/>
  <c r="AA5" i="3"/>
  <c r="F107" i="7"/>
  <c r="E58" i="7"/>
  <c r="H65" i="7" s="1"/>
  <c r="C11" i="8"/>
  <c r="F63" i="8"/>
  <c r="I63" i="8" s="1"/>
  <c r="P5" i="3"/>
  <c r="Q5" i="3" s="1"/>
  <c r="R5" i="3" s="1"/>
  <c r="S5" i="3" s="1"/>
  <c r="T5" i="3" s="1"/>
  <c r="H57" i="8"/>
  <c r="J57" i="8" s="1"/>
  <c r="H47" i="8"/>
  <c r="K47" i="8" s="1"/>
  <c r="H55" i="8"/>
  <c r="J55" i="8" s="1"/>
  <c r="E66" i="8"/>
  <c r="H66" i="8" s="1"/>
  <c r="E46" i="8"/>
  <c r="G46" i="8" s="1"/>
  <c r="C204" i="6"/>
  <c r="F51" i="8"/>
  <c r="I51" i="8" s="1"/>
  <c r="F55" i="8"/>
  <c r="I55" i="8" s="1"/>
  <c r="I48" i="8"/>
  <c r="I44" i="8"/>
  <c r="H51" i="8"/>
  <c r="K51" i="8" s="1"/>
  <c r="F42" i="8"/>
  <c r="I42" i="8" s="1"/>
  <c r="H42" i="8"/>
  <c r="J42" i="8" s="1"/>
  <c r="E48" i="8"/>
  <c r="G48" i="8" s="1"/>
  <c r="F57" i="8"/>
  <c r="I57" i="8" s="1"/>
  <c r="G64" i="8"/>
  <c r="J64" i="8" s="1"/>
  <c r="E67" i="8"/>
  <c r="H67" i="8" s="1"/>
  <c r="C24" i="1"/>
  <c r="C30" i="1" s="1"/>
  <c r="H16" i="7" s="1"/>
  <c r="A6" i="3"/>
  <c r="B6" i="3" s="1"/>
  <c r="AC6" i="3" s="1"/>
  <c r="H58" i="8"/>
  <c r="K58" i="8" s="1"/>
  <c r="F64" i="8"/>
  <c r="I64" i="8" s="1"/>
  <c r="F62" i="8"/>
  <c r="I62" i="8" s="1"/>
  <c r="N15" i="6"/>
  <c r="B192" i="6" s="1"/>
  <c r="X120" i="4"/>
  <c r="V121" i="4"/>
  <c r="H65" i="8"/>
  <c r="J65" i="8" s="1"/>
  <c r="F65" i="8"/>
  <c r="I65" i="8" s="1"/>
  <c r="G61" i="8"/>
  <c r="J61" i="8" s="1"/>
  <c r="AD5" i="3"/>
  <c r="E110" i="7"/>
  <c r="F49" i="8"/>
  <c r="I49" i="8" s="1"/>
  <c r="F47" i="8"/>
  <c r="I47" i="8" s="1"/>
  <c r="H41" i="8"/>
  <c r="J41" i="8" s="1"/>
  <c r="F61" i="8"/>
  <c r="I61" i="8" s="1"/>
  <c r="H62" i="8"/>
  <c r="K62" i="8" s="1"/>
  <c r="E44" i="8"/>
  <c r="G44" i="8" s="1"/>
  <c r="I46" i="8"/>
  <c r="AC5" i="3"/>
  <c r="H45" i="8"/>
  <c r="J45" i="8" s="1"/>
  <c r="H49" i="8"/>
  <c r="J49" i="8" s="1"/>
  <c r="F58" i="8"/>
  <c r="I58" i="8" s="1"/>
  <c r="F43" i="8"/>
  <c r="I43" i="8" s="1"/>
  <c r="F41" i="8"/>
  <c r="I41" i="8" s="1"/>
  <c r="E60" i="8"/>
  <c r="H60" i="8" s="1"/>
  <c r="E59" i="8"/>
  <c r="G59" i="8" s="1"/>
  <c r="F45" i="8"/>
  <c r="I45" i="8" s="1"/>
  <c r="E54" i="8"/>
  <c r="H54" i="8" s="1"/>
  <c r="E56" i="8"/>
  <c r="G56" i="8" s="1"/>
  <c r="V111" i="4"/>
  <c r="X110" i="4"/>
  <c r="E128" i="6"/>
  <c r="D129" i="6"/>
  <c r="X200" i="4"/>
  <c r="V201" i="4"/>
  <c r="S194" i="4"/>
  <c r="Q196" i="4"/>
  <c r="W226" i="4"/>
  <c r="X226" i="4"/>
  <c r="X191" i="4"/>
  <c r="W191" i="4"/>
  <c r="W216" i="4"/>
  <c r="D213" i="4" s="1"/>
  <c r="F213" i="4" s="1"/>
  <c r="X216" i="4"/>
  <c r="V236" i="4"/>
  <c r="X235" i="4"/>
  <c r="H28" i="6"/>
  <c r="C190" i="6" s="1"/>
  <c r="C153" i="6"/>
  <c r="C157" i="6"/>
  <c r="C151" i="6"/>
  <c r="C152" i="6"/>
  <c r="K43" i="8" l="1"/>
  <c r="H29" i="6"/>
  <c r="H47" i="7" s="1"/>
  <c r="F108" i="7"/>
  <c r="H32" i="6"/>
  <c r="J63" i="8"/>
  <c r="L63" i="8" s="1"/>
  <c r="G50" i="8"/>
  <c r="J50" i="8" s="1"/>
  <c r="C149" i="6"/>
  <c r="B191" i="6"/>
  <c r="M52" i="8"/>
  <c r="J52" i="8"/>
  <c r="L52" i="8" s="1"/>
  <c r="H46" i="8"/>
  <c r="J46" i="8" s="1"/>
  <c r="J47" i="8"/>
  <c r="L47" i="8" s="1"/>
  <c r="K57" i="8"/>
  <c r="M57" i="8" s="1"/>
  <c r="G53" i="8"/>
  <c r="K53" i="8" s="1"/>
  <c r="M53" i="8" s="1"/>
  <c r="P28" i="1"/>
  <c r="H68" i="7"/>
  <c r="P27" i="1"/>
  <c r="M63" i="8"/>
  <c r="AA6" i="3"/>
  <c r="J62" i="8"/>
  <c r="L62" i="8" s="1"/>
  <c r="Z6" i="3"/>
  <c r="K55" i="8"/>
  <c r="M55" i="8" s="1"/>
  <c r="J58" i="8"/>
  <c r="L58" i="8" s="1"/>
  <c r="H71" i="7"/>
  <c r="I29" i="6"/>
  <c r="I30" i="6" s="1"/>
  <c r="I48" i="7" s="1"/>
  <c r="C194" i="6"/>
  <c r="H46" i="7"/>
  <c r="D152" i="6"/>
  <c r="H13" i="7"/>
  <c r="P6" i="3"/>
  <c r="Q6" i="3" s="1"/>
  <c r="R6" i="3" s="1"/>
  <c r="S6" i="3" s="1"/>
  <c r="T6" i="3" s="1"/>
  <c r="J51" i="8"/>
  <c r="L51" i="8" s="1"/>
  <c r="K47" i="1"/>
  <c r="G66" i="8"/>
  <c r="J66" i="8" s="1"/>
  <c r="C155" i="6"/>
  <c r="C156" i="6" s="1"/>
  <c r="I32" i="6"/>
  <c r="H48" i="8"/>
  <c r="J48" i="8" s="1"/>
  <c r="K45" i="8"/>
  <c r="M45" i="8" s="1"/>
  <c r="B193" i="6"/>
  <c r="M62" i="8"/>
  <c r="H44" i="8"/>
  <c r="J44" i="8" s="1"/>
  <c r="K65" i="8"/>
  <c r="M65" i="8" s="1"/>
  <c r="M51" i="8"/>
  <c r="K42" i="8"/>
  <c r="M42" i="8" s="1"/>
  <c r="G54" i="8"/>
  <c r="J54" i="8" s="1"/>
  <c r="AD6" i="3"/>
  <c r="K64" i="8"/>
  <c r="M64" i="8" s="1"/>
  <c r="G67" i="8"/>
  <c r="J67" i="8" s="1"/>
  <c r="K61" i="8"/>
  <c r="M61" i="8" s="1"/>
  <c r="K49" i="8"/>
  <c r="M49" i="8" s="1"/>
  <c r="M47" i="8"/>
  <c r="W121" i="4"/>
  <c r="X121" i="4"/>
  <c r="K41" i="8"/>
  <c r="M41" i="8" s="1"/>
  <c r="C150" i="6"/>
  <c r="I42" i="7"/>
  <c r="M43" i="8"/>
  <c r="D118" i="4"/>
  <c r="F118" i="4" s="1"/>
  <c r="H56" i="8"/>
  <c r="J56" i="8" s="1"/>
  <c r="A7" i="3"/>
  <c r="B7" i="3" s="1"/>
  <c r="M58" i="8"/>
  <c r="G60" i="8"/>
  <c r="J60" i="8" s="1"/>
  <c r="H59" i="8"/>
  <c r="J59" i="8" s="1"/>
  <c r="D223" i="4"/>
  <c r="F223" i="4" s="1"/>
  <c r="X111" i="4"/>
  <c r="W111" i="4"/>
  <c r="D108" i="4" s="1"/>
  <c r="D188" i="4"/>
  <c r="F188" i="4" s="1"/>
  <c r="D130" i="6"/>
  <c r="E130" i="6" s="1"/>
  <c r="E129" i="6"/>
  <c r="S28" i="6"/>
  <c r="C193" i="6"/>
  <c r="X236" i="4"/>
  <c r="W236" i="4"/>
  <c r="R196" i="4"/>
  <c r="T194" i="4"/>
  <c r="W201" i="4"/>
  <c r="X201" i="4"/>
  <c r="D198" i="4" s="1"/>
  <c r="F198" i="4" s="1"/>
  <c r="B190" i="6"/>
  <c r="H30" i="6"/>
  <c r="H48" i="7" s="1"/>
  <c r="B194" i="6"/>
  <c r="H14" i="7"/>
  <c r="D5" i="3"/>
  <c r="AG5" i="3"/>
  <c r="AH5" i="3"/>
  <c r="E5" i="3"/>
  <c r="H5" i="3" s="1"/>
  <c r="L43" i="8"/>
  <c r="K50" i="8" l="1"/>
  <c r="M50" i="8" s="1"/>
  <c r="J53" i="8"/>
  <c r="L53" i="8" s="1"/>
  <c r="L57" i="8"/>
  <c r="K46" i="8"/>
  <c r="M46" i="8" s="1"/>
  <c r="I15" i="7"/>
  <c r="L55" i="8"/>
  <c r="I47" i="7"/>
  <c r="S29" i="6"/>
  <c r="I14" i="7"/>
  <c r="K66" i="8"/>
  <c r="M66" i="8" s="1"/>
  <c r="L45" i="8"/>
  <c r="K48" i="8"/>
  <c r="L48" i="8" s="1"/>
  <c r="L65" i="8"/>
  <c r="K44" i="8"/>
  <c r="M44" i="8" s="1"/>
  <c r="L64" i="8"/>
  <c r="K54" i="8"/>
  <c r="M54" i="8" s="1"/>
  <c r="L42" i="8"/>
  <c r="L41" i="8"/>
  <c r="L61" i="8"/>
  <c r="K67" i="8"/>
  <c r="M67" i="8" s="1"/>
  <c r="L50" i="8"/>
  <c r="L49" i="8"/>
  <c r="P7" i="3"/>
  <c r="Q7" i="3" s="1"/>
  <c r="R7" i="3" s="1"/>
  <c r="S7" i="3" s="1"/>
  <c r="T7" i="3" s="1"/>
  <c r="A8" i="3"/>
  <c r="B8" i="3" s="1"/>
  <c r="Z7" i="3"/>
  <c r="AD7" i="3"/>
  <c r="AA7" i="3"/>
  <c r="AC7" i="3"/>
  <c r="K56" i="8"/>
  <c r="M56" i="8" s="1"/>
  <c r="K60" i="8"/>
  <c r="M60" i="8" s="1"/>
  <c r="K59" i="8"/>
  <c r="M59" i="8" s="1"/>
  <c r="F108" i="4"/>
  <c r="D233" i="4"/>
  <c r="F233" i="4" s="1"/>
  <c r="U194" i="4"/>
  <c r="S196" i="4"/>
  <c r="H15" i="7"/>
  <c r="S30" i="6"/>
  <c r="H33" i="6"/>
  <c r="K5" i="3"/>
  <c r="F5" i="3"/>
  <c r="G5" i="3"/>
  <c r="L46" i="8" l="1"/>
  <c r="L66" i="8"/>
  <c r="M48" i="8"/>
  <c r="L44" i="8"/>
  <c r="L54" i="8"/>
  <c r="L67" i="8"/>
  <c r="L56" i="8"/>
  <c r="AA8" i="3"/>
  <c r="Z8" i="3"/>
  <c r="AC8" i="3"/>
  <c r="A9" i="3"/>
  <c r="B9" i="3" s="1"/>
  <c r="AD8" i="3"/>
  <c r="P8" i="3"/>
  <c r="Q8" i="3" s="1"/>
  <c r="R8" i="3" s="1"/>
  <c r="S8" i="3" s="1"/>
  <c r="L60" i="8"/>
  <c r="L59" i="8"/>
  <c r="T196" i="4"/>
  <c r="V194" i="4"/>
  <c r="M5" i="3"/>
  <c r="N5" i="3" s="1"/>
  <c r="I5" i="3"/>
  <c r="J5" i="3"/>
  <c r="V5" i="3"/>
  <c r="AE5" i="3"/>
  <c r="T8" i="3" l="1"/>
  <c r="P9" i="3"/>
  <c r="Q9" i="3" s="1"/>
  <c r="R9" i="3" s="1"/>
  <c r="S9" i="3" s="1"/>
  <c r="A10" i="3"/>
  <c r="B10" i="3" s="1"/>
  <c r="AD9" i="3"/>
  <c r="AC9" i="3"/>
  <c r="Z9" i="3"/>
  <c r="AA9" i="3"/>
  <c r="U196" i="4"/>
  <c r="W194" i="4"/>
  <c r="W5" i="3"/>
  <c r="L5" i="3"/>
  <c r="T9" i="3" l="1"/>
  <c r="P10" i="3"/>
  <c r="Q10" i="3" s="1"/>
  <c r="R10" i="3" s="1"/>
  <c r="S10" i="3" s="1"/>
  <c r="Z10" i="3"/>
  <c r="AA10" i="3"/>
  <c r="AC10" i="3"/>
  <c r="A11" i="3"/>
  <c r="B11" i="3" s="1"/>
  <c r="AD10" i="3"/>
  <c r="V196" i="4"/>
  <c r="W196" i="4"/>
  <c r="U5" i="3"/>
  <c r="D6" i="3" s="1"/>
  <c r="AG6" i="3"/>
  <c r="AH6" i="3"/>
  <c r="T10" i="3" l="1"/>
  <c r="AD11" i="3"/>
  <c r="AA11" i="3"/>
  <c r="Z11" i="3"/>
  <c r="P11" i="3"/>
  <c r="Q11" i="3" s="1"/>
  <c r="R11" i="3" s="1"/>
  <c r="S11" i="3" s="1"/>
  <c r="AC11" i="3"/>
  <c r="A12" i="3"/>
  <c r="B12" i="3" s="1"/>
  <c r="D193" i="4"/>
  <c r="E6" i="3"/>
  <c r="H6" i="3" s="1"/>
  <c r="K6" i="3" s="1"/>
  <c r="G6" i="3"/>
  <c r="T11" i="3" l="1"/>
  <c r="AC12" i="3"/>
  <c r="A13" i="3"/>
  <c r="B13" i="3" s="1"/>
  <c r="AD12" i="3"/>
  <c r="P12" i="3"/>
  <c r="Q12" i="3" s="1"/>
  <c r="R12" i="3" s="1"/>
  <c r="S12" i="3" s="1"/>
  <c r="Z12" i="3"/>
  <c r="AA12" i="3"/>
  <c r="M36" i="6"/>
  <c r="N34" i="1"/>
  <c r="F193" i="4"/>
  <c r="F6" i="3"/>
  <c r="I6" i="3"/>
  <c r="J6" i="3"/>
  <c r="M6" i="3"/>
  <c r="N6" i="3" s="1"/>
  <c r="V6" i="3"/>
  <c r="AE6" i="3"/>
  <c r="T12" i="3" l="1"/>
  <c r="AD13" i="3"/>
  <c r="AA13" i="3"/>
  <c r="Z13" i="3"/>
  <c r="A14" i="3"/>
  <c r="B14" i="3" s="1"/>
  <c r="AC13" i="3"/>
  <c r="P13" i="3"/>
  <c r="Q13" i="3" s="1"/>
  <c r="R13" i="3" s="1"/>
  <c r="S13" i="3" s="1"/>
  <c r="W6" i="3"/>
  <c r="L6" i="3"/>
  <c r="T13" i="3" l="1"/>
  <c r="P14" i="3"/>
  <c r="Q14" i="3" s="1"/>
  <c r="R14" i="3" s="1"/>
  <c r="S14" i="3" s="1"/>
  <c r="AD14" i="3"/>
  <c r="AC14" i="3"/>
  <c r="A15" i="3"/>
  <c r="B15" i="3" s="1"/>
  <c r="AA14" i="3"/>
  <c r="Z14" i="3"/>
  <c r="AH7" i="3"/>
  <c r="AG7" i="3"/>
  <c r="U6" i="3"/>
  <c r="D7" i="3" s="1"/>
  <c r="Y5" i="3"/>
  <c r="T14" i="3" l="1"/>
  <c r="AA15" i="3"/>
  <c r="AD15" i="3"/>
  <c r="P15" i="3"/>
  <c r="Q15" i="3" s="1"/>
  <c r="R15" i="3" s="1"/>
  <c r="S15" i="3" s="1"/>
  <c r="Z15" i="3"/>
  <c r="A16" i="3"/>
  <c r="B16" i="3" s="1"/>
  <c r="AC15" i="3"/>
  <c r="G7" i="3"/>
  <c r="E7" i="3"/>
  <c r="H7" i="3" s="1"/>
  <c r="T15" i="3" l="1"/>
  <c r="P16" i="3"/>
  <c r="Q16" i="3" s="1"/>
  <c r="R16" i="3" s="1"/>
  <c r="S16" i="3" s="1"/>
  <c r="A17" i="3"/>
  <c r="B17" i="3" s="1"/>
  <c r="AA16" i="3"/>
  <c r="Z16" i="3"/>
  <c r="AC16" i="3"/>
  <c r="AD16" i="3"/>
  <c r="F7" i="3"/>
  <c r="I7" i="3"/>
  <c r="J7" i="3"/>
  <c r="M7" i="3"/>
  <c r="N7" i="3" s="1"/>
  <c r="K7" i="3"/>
  <c r="T16" i="3" l="1"/>
  <c r="A18" i="3"/>
  <c r="B18" i="3" s="1"/>
  <c r="AD17" i="3"/>
  <c r="Z17" i="3"/>
  <c r="AA17" i="3"/>
  <c r="AC17" i="3"/>
  <c r="P17" i="3"/>
  <c r="Q17" i="3" s="1"/>
  <c r="R17" i="3" s="1"/>
  <c r="S17" i="3" s="1"/>
  <c r="L7" i="3"/>
  <c r="V7" i="3"/>
  <c r="W7" i="3" s="1"/>
  <c r="AE7" i="3"/>
  <c r="T17" i="3" l="1"/>
  <c r="A19" i="3"/>
  <c r="B19" i="3" s="1"/>
  <c r="Z18" i="3"/>
  <c r="AC18" i="3"/>
  <c r="AD18" i="3"/>
  <c r="P18" i="3"/>
  <c r="Q18" i="3" s="1"/>
  <c r="R18" i="3" s="1"/>
  <c r="S18" i="3" s="1"/>
  <c r="AA18" i="3"/>
  <c r="AH8" i="3"/>
  <c r="U7" i="3"/>
  <c r="D8" i="3" s="1"/>
  <c r="AG8" i="3"/>
  <c r="Y6" i="3"/>
  <c r="T18" i="3" l="1"/>
  <c r="Z19" i="3"/>
  <c r="P19" i="3"/>
  <c r="Q19" i="3" s="1"/>
  <c r="R19" i="3" s="1"/>
  <c r="S19" i="3" s="1"/>
  <c r="AD19" i="3"/>
  <c r="AC19" i="3"/>
  <c r="A20" i="3"/>
  <c r="B20" i="3" s="1"/>
  <c r="AA19" i="3"/>
  <c r="E8" i="3"/>
  <c r="H8" i="3" s="1"/>
  <c r="K8" i="3" s="1"/>
  <c r="G8" i="3"/>
  <c r="T19" i="3" l="1"/>
  <c r="AD20" i="3"/>
  <c r="AC20" i="3"/>
  <c r="AA20" i="3"/>
  <c r="P20" i="3"/>
  <c r="Q20" i="3" s="1"/>
  <c r="R20" i="3" s="1"/>
  <c r="S20" i="3" s="1"/>
  <c r="Z20" i="3"/>
  <c r="A21" i="3"/>
  <c r="B21" i="3" s="1"/>
  <c r="F8" i="3"/>
  <c r="I8" i="3"/>
  <c r="J8" i="3"/>
  <c r="M8" i="3"/>
  <c r="N8" i="3" s="1"/>
  <c r="V8" i="3"/>
  <c r="AE8" i="3"/>
  <c r="T20" i="3" l="1"/>
  <c r="P21" i="3"/>
  <c r="Q21" i="3" s="1"/>
  <c r="R21" i="3" s="1"/>
  <c r="S21" i="3" s="1"/>
  <c r="Z21" i="3"/>
  <c r="A22" i="3"/>
  <c r="B22" i="3" s="1"/>
  <c r="AA21" i="3"/>
  <c r="AD21" i="3"/>
  <c r="AC21" i="3"/>
  <c r="W8" i="3"/>
  <c r="L8" i="3"/>
  <c r="T21" i="3" l="1"/>
  <c r="AC22" i="3"/>
  <c r="P22" i="3"/>
  <c r="Q22" i="3" s="1"/>
  <c r="R22" i="3" s="1"/>
  <c r="S22" i="3" s="1"/>
  <c r="Z22" i="3"/>
  <c r="AD22" i="3"/>
  <c r="AA22" i="3"/>
  <c r="A23" i="3"/>
  <c r="B23" i="3" s="1"/>
  <c r="U8" i="3"/>
  <c r="D9" i="3" s="1"/>
  <c r="AH9" i="3"/>
  <c r="AG9" i="3"/>
  <c r="Y7" i="3"/>
  <c r="T22" i="3" l="1"/>
  <c r="A24" i="3"/>
  <c r="B24" i="3" s="1"/>
  <c r="AA23" i="3"/>
  <c r="AD23" i="3"/>
  <c r="Z23" i="3"/>
  <c r="P23" i="3"/>
  <c r="Q23" i="3" s="1"/>
  <c r="R23" i="3" s="1"/>
  <c r="S23" i="3" s="1"/>
  <c r="AC23" i="3"/>
  <c r="E9" i="3"/>
  <c r="H9" i="3" s="1"/>
  <c r="K9" i="3" s="1"/>
  <c r="G9" i="3"/>
  <c r="T23" i="3" l="1"/>
  <c r="A25" i="3"/>
  <c r="B25" i="3" s="1"/>
  <c r="P24" i="3"/>
  <c r="Q24" i="3" s="1"/>
  <c r="R24" i="3" s="1"/>
  <c r="S24" i="3" s="1"/>
  <c r="Z24" i="3"/>
  <c r="AD24" i="3"/>
  <c r="AA24" i="3"/>
  <c r="AC24" i="3"/>
  <c r="F9" i="3"/>
  <c r="V9" i="3"/>
  <c r="AE9" i="3"/>
  <c r="I9" i="3"/>
  <c r="J9" i="3"/>
  <c r="M9" i="3"/>
  <c r="N9" i="3" s="1"/>
  <c r="T24" i="3" l="1"/>
  <c r="P25" i="3"/>
  <c r="Q25" i="3" s="1"/>
  <c r="R25" i="3" s="1"/>
  <c r="S25" i="3" s="1"/>
  <c r="Z25" i="3"/>
  <c r="A26" i="3"/>
  <c r="B26" i="3" s="1"/>
  <c r="AC25" i="3"/>
  <c r="AA25" i="3"/>
  <c r="AD25" i="3"/>
  <c r="W9" i="3"/>
  <c r="L9" i="3"/>
  <c r="T25" i="3" l="1"/>
  <c r="P26" i="3"/>
  <c r="Q26" i="3" s="1"/>
  <c r="R26" i="3" s="1"/>
  <c r="S26" i="3" s="1"/>
  <c r="Z26" i="3"/>
  <c r="A27" i="3"/>
  <c r="B27" i="3" s="1"/>
  <c r="AA26" i="3"/>
  <c r="AD26" i="3"/>
  <c r="AC26" i="3"/>
  <c r="AH10" i="3"/>
  <c r="U9" i="3"/>
  <c r="E10" i="3" s="1"/>
  <c r="H10" i="3" s="1"/>
  <c r="AG10" i="3"/>
  <c r="Y8" i="3"/>
  <c r="T26" i="3" l="1"/>
  <c r="P27" i="3"/>
  <c r="Q27" i="3" s="1"/>
  <c r="R27" i="3" s="1"/>
  <c r="S27" i="3" s="1"/>
  <c r="AA27" i="3"/>
  <c r="A28" i="3"/>
  <c r="B28" i="3" s="1"/>
  <c r="AD27" i="3"/>
  <c r="Z27" i="3"/>
  <c r="AC27" i="3"/>
  <c r="K10" i="3"/>
  <c r="D10" i="3"/>
  <c r="T27" i="3" l="1"/>
  <c r="P28" i="3"/>
  <c r="Q28" i="3" s="1"/>
  <c r="R28" i="3" s="1"/>
  <c r="S28" i="3" s="1"/>
  <c r="AA28" i="3"/>
  <c r="AD28" i="3"/>
  <c r="Z28" i="3"/>
  <c r="A29" i="3"/>
  <c r="B29" i="3" s="1"/>
  <c r="AC28" i="3"/>
  <c r="F10" i="3"/>
  <c r="G10" i="3"/>
  <c r="V10" i="3"/>
  <c r="AE10" i="3"/>
  <c r="T28" i="3" l="1"/>
  <c r="AA29" i="3"/>
  <c r="A30" i="3"/>
  <c r="B30" i="3" s="1"/>
  <c r="AD29" i="3"/>
  <c r="P29" i="3"/>
  <c r="Q29" i="3" s="1"/>
  <c r="R29" i="3" s="1"/>
  <c r="S29" i="3" s="1"/>
  <c r="Z29" i="3"/>
  <c r="AC29" i="3"/>
  <c r="I10" i="3"/>
  <c r="W10" i="3" s="1"/>
  <c r="J10" i="3"/>
  <c r="M10" i="3"/>
  <c r="N10" i="3" s="1"/>
  <c r="T29" i="3" l="1"/>
  <c r="Z30" i="3"/>
  <c r="AC30" i="3"/>
  <c r="A31" i="3"/>
  <c r="B31" i="3" s="1"/>
  <c r="P30" i="3"/>
  <c r="Q30" i="3" s="1"/>
  <c r="R30" i="3" s="1"/>
  <c r="S30" i="3" s="1"/>
  <c r="AA30" i="3"/>
  <c r="AD30" i="3"/>
  <c r="L10" i="3"/>
  <c r="T30" i="3" l="1"/>
  <c r="AA31" i="3"/>
  <c r="AC31" i="3"/>
  <c r="P31" i="3"/>
  <c r="Q31" i="3" s="1"/>
  <c r="R31" i="3" s="1"/>
  <c r="S31" i="3" s="1"/>
  <c r="A32" i="3"/>
  <c r="B32" i="3" s="1"/>
  <c r="Z31" i="3"/>
  <c r="AD31" i="3"/>
  <c r="AG11" i="3"/>
  <c r="AH11" i="3"/>
  <c r="U10" i="3"/>
  <c r="E11" i="3" s="1"/>
  <c r="H11" i="3" s="1"/>
  <c r="Y9" i="3"/>
  <c r="T31" i="3" l="1"/>
  <c r="P32" i="3"/>
  <c r="Q32" i="3" s="1"/>
  <c r="R32" i="3" s="1"/>
  <c r="S32" i="3" s="1"/>
  <c r="AA32" i="3"/>
  <c r="A33" i="3"/>
  <c r="B33" i="3" s="1"/>
  <c r="AD32" i="3"/>
  <c r="AC32" i="3"/>
  <c r="Z32" i="3"/>
  <c r="K11" i="3"/>
  <c r="D11" i="3"/>
  <c r="T32" i="3" l="1"/>
  <c r="P33" i="3"/>
  <c r="Q33" i="3" s="1"/>
  <c r="R33" i="3" s="1"/>
  <c r="S33" i="3" s="1"/>
  <c r="AC33" i="3"/>
  <c r="AD33" i="3"/>
  <c r="A34" i="3"/>
  <c r="B34" i="3" s="1"/>
  <c r="Z33" i="3"/>
  <c r="AA33" i="3"/>
  <c r="V11" i="3"/>
  <c r="AE11" i="3"/>
  <c r="F11" i="3"/>
  <c r="G11" i="3"/>
  <c r="T33" i="3" l="1"/>
  <c r="AA34" i="3"/>
  <c r="Z34" i="3"/>
  <c r="AD34" i="3"/>
  <c r="P34" i="3"/>
  <c r="Q34" i="3" s="1"/>
  <c r="R34" i="3" s="1"/>
  <c r="S34" i="3" s="1"/>
  <c r="AC34" i="3"/>
  <c r="A35" i="3"/>
  <c r="B35" i="3" s="1"/>
  <c r="I11" i="3"/>
  <c r="W11" i="3" s="1"/>
  <c r="J11" i="3"/>
  <c r="M11" i="3"/>
  <c r="N11" i="3" s="1"/>
  <c r="T34" i="3" l="1"/>
  <c r="AC35" i="3"/>
  <c r="P35" i="3"/>
  <c r="Q35" i="3" s="1"/>
  <c r="R35" i="3" s="1"/>
  <c r="S35" i="3" s="1"/>
  <c r="AD35" i="3"/>
  <c r="A36" i="3"/>
  <c r="B36" i="3" s="1"/>
  <c r="Z35" i="3"/>
  <c r="AA35" i="3"/>
  <c r="L11" i="3"/>
  <c r="T35" i="3" l="1"/>
  <c r="P36" i="3"/>
  <c r="Q36" i="3" s="1"/>
  <c r="R36" i="3" s="1"/>
  <c r="S36" i="3" s="1"/>
  <c r="AA36" i="3"/>
  <c r="Z36" i="3"/>
  <c r="AD36" i="3"/>
  <c r="A37" i="3"/>
  <c r="B37" i="3" s="1"/>
  <c r="AC36" i="3"/>
  <c r="AH12" i="3"/>
  <c r="U11" i="3"/>
  <c r="E12" i="3" s="1"/>
  <c r="H12" i="3" s="1"/>
  <c r="AG12" i="3"/>
  <c r="Y10" i="3"/>
  <c r="T36" i="3" l="1"/>
  <c r="AD37" i="3"/>
  <c r="Z37" i="3"/>
  <c r="AC37" i="3"/>
  <c r="A38" i="3"/>
  <c r="B38" i="3" s="1"/>
  <c r="AA37" i="3"/>
  <c r="P37" i="3"/>
  <c r="Q37" i="3" s="1"/>
  <c r="R37" i="3" s="1"/>
  <c r="S37" i="3" s="1"/>
  <c r="D12" i="3"/>
  <c r="G12" i="3" s="1"/>
  <c r="K12" i="3"/>
  <c r="T37" i="3" l="1"/>
  <c r="P38" i="3"/>
  <c r="Q38" i="3" s="1"/>
  <c r="R38" i="3" s="1"/>
  <c r="S38" i="3" s="1"/>
  <c r="AC38" i="3"/>
  <c r="AD38" i="3"/>
  <c r="AA38" i="3"/>
  <c r="Z38" i="3"/>
  <c r="A39" i="3"/>
  <c r="B39" i="3" s="1"/>
  <c r="F12" i="3"/>
  <c r="V12" i="3"/>
  <c r="AE12" i="3"/>
  <c r="I12" i="3"/>
  <c r="J12" i="3"/>
  <c r="M12" i="3"/>
  <c r="N12" i="3" s="1"/>
  <c r="T38" i="3" l="1"/>
  <c r="A40" i="3"/>
  <c r="B40" i="3" s="1"/>
  <c r="AA39" i="3"/>
  <c r="AC39" i="3"/>
  <c r="P39" i="3"/>
  <c r="Q39" i="3" s="1"/>
  <c r="R39" i="3" s="1"/>
  <c r="S39" i="3" s="1"/>
  <c r="AD39" i="3"/>
  <c r="Z39" i="3"/>
  <c r="W12" i="3"/>
  <c r="L12" i="3"/>
  <c r="T39" i="3" l="1"/>
  <c r="AA40" i="3"/>
  <c r="A41" i="3"/>
  <c r="B41" i="3" s="1"/>
  <c r="AC40" i="3"/>
  <c r="Z40" i="3"/>
  <c r="P40" i="3"/>
  <c r="Q40" i="3" s="1"/>
  <c r="R40" i="3" s="1"/>
  <c r="S40" i="3" s="1"/>
  <c r="AD40" i="3"/>
  <c r="AG13" i="3"/>
  <c r="U12" i="3"/>
  <c r="E13" i="3" s="1"/>
  <c r="H13" i="3" s="1"/>
  <c r="AH13" i="3"/>
  <c r="Y11" i="3"/>
  <c r="T40" i="3" l="1"/>
  <c r="AA41" i="3"/>
  <c r="P41" i="3"/>
  <c r="Q41" i="3" s="1"/>
  <c r="R41" i="3" s="1"/>
  <c r="S41" i="3" s="1"/>
  <c r="AC41" i="3"/>
  <c r="AD41" i="3"/>
  <c r="A42" i="3"/>
  <c r="B42" i="3" s="1"/>
  <c r="Z41" i="3"/>
  <c r="D13" i="3"/>
  <c r="F13" i="3" s="1"/>
  <c r="K13" i="3"/>
  <c r="T41" i="3" l="1"/>
  <c r="AD42" i="3"/>
  <c r="AC42" i="3"/>
  <c r="P42" i="3"/>
  <c r="Q42" i="3" s="1"/>
  <c r="R42" i="3" s="1"/>
  <c r="S42" i="3" s="1"/>
  <c r="AA42" i="3"/>
  <c r="Z42" i="3"/>
  <c r="A43" i="3"/>
  <c r="B43" i="3" s="1"/>
  <c r="G13" i="3"/>
  <c r="I13" i="3" s="1"/>
  <c r="V13" i="3"/>
  <c r="AE13" i="3"/>
  <c r="T42" i="3" l="1"/>
  <c r="P43" i="3"/>
  <c r="Q43" i="3" s="1"/>
  <c r="R43" i="3" s="1"/>
  <c r="S43" i="3" s="1"/>
  <c r="AA43" i="3"/>
  <c r="AC43" i="3"/>
  <c r="AD43" i="3"/>
  <c r="Z43" i="3"/>
  <c r="A44" i="3"/>
  <c r="B44" i="3" s="1"/>
  <c r="J13" i="3"/>
  <c r="L13" i="3" s="1"/>
  <c r="M13" i="3"/>
  <c r="N13" i="3" s="1"/>
  <c r="W13" i="3"/>
  <c r="T43" i="3" l="1"/>
  <c r="AA44" i="3"/>
  <c r="AD44" i="3"/>
  <c r="Z44" i="3"/>
  <c r="A45" i="3"/>
  <c r="B45" i="3" s="1"/>
  <c r="AC44" i="3"/>
  <c r="P44" i="3"/>
  <c r="Q44" i="3" s="1"/>
  <c r="R44" i="3" s="1"/>
  <c r="S44" i="3" s="1"/>
  <c r="AH14" i="3"/>
  <c r="AG14" i="3"/>
  <c r="U13" i="3"/>
  <c r="D14" i="3" s="1"/>
  <c r="Y12" i="3"/>
  <c r="T44" i="3" l="1"/>
  <c r="AA45" i="3"/>
  <c r="A46" i="3"/>
  <c r="B46" i="3" s="1"/>
  <c r="AD45" i="3"/>
  <c r="P45" i="3"/>
  <c r="Q45" i="3" s="1"/>
  <c r="R45" i="3" s="1"/>
  <c r="S45" i="3" s="1"/>
  <c r="Z45" i="3"/>
  <c r="AC45" i="3"/>
  <c r="E14" i="3"/>
  <c r="H14" i="3" s="1"/>
  <c r="K14" i="3" s="1"/>
  <c r="G14" i="3"/>
  <c r="T45" i="3" l="1"/>
  <c r="P46" i="3"/>
  <c r="Q46" i="3" s="1"/>
  <c r="R46" i="3" s="1"/>
  <c r="S46" i="3" s="1"/>
  <c r="AD46" i="3"/>
  <c r="Z46" i="3"/>
  <c r="A47" i="3"/>
  <c r="B47" i="3" s="1"/>
  <c r="AA46" i="3"/>
  <c r="AC46" i="3"/>
  <c r="F14" i="3"/>
  <c r="V14" i="3"/>
  <c r="AE14" i="3"/>
  <c r="I14" i="3"/>
  <c r="J14" i="3"/>
  <c r="M14" i="3"/>
  <c r="N14" i="3" s="1"/>
  <c r="T46" i="3" l="1"/>
  <c r="P47" i="3"/>
  <c r="Q47" i="3" s="1"/>
  <c r="R47" i="3" s="1"/>
  <c r="S47" i="3" s="1"/>
  <c r="AC47" i="3"/>
  <c r="A48" i="3"/>
  <c r="B48" i="3" s="1"/>
  <c r="AD47" i="3"/>
  <c r="AA47" i="3"/>
  <c r="Z47" i="3"/>
  <c r="W14" i="3"/>
  <c r="L14" i="3"/>
  <c r="T47" i="3" l="1"/>
  <c r="A49" i="3"/>
  <c r="B49" i="3" s="1"/>
  <c r="AD48" i="3"/>
  <c r="AC48" i="3"/>
  <c r="Z48" i="3"/>
  <c r="P48" i="3"/>
  <c r="Q48" i="3" s="1"/>
  <c r="R48" i="3" s="1"/>
  <c r="S48" i="3" s="1"/>
  <c r="AA48" i="3"/>
  <c r="U14" i="3"/>
  <c r="E15" i="3" s="1"/>
  <c r="H15" i="3" s="1"/>
  <c r="AG15" i="3"/>
  <c r="AH15" i="3"/>
  <c r="Y13" i="3"/>
  <c r="T48" i="3" l="1"/>
  <c r="AA49" i="3"/>
  <c r="A50" i="3"/>
  <c r="B50" i="3" s="1"/>
  <c r="P49" i="3"/>
  <c r="Q49" i="3" s="1"/>
  <c r="R49" i="3" s="1"/>
  <c r="S49" i="3" s="1"/>
  <c r="Z49" i="3"/>
  <c r="AC49" i="3"/>
  <c r="AD49" i="3"/>
  <c r="D15" i="3"/>
  <c r="F15" i="3" s="1"/>
  <c r="K15" i="3"/>
  <c r="T49" i="3" l="1"/>
  <c r="AD50" i="3"/>
  <c r="AC50" i="3"/>
  <c r="Z50" i="3"/>
  <c r="P50" i="3"/>
  <c r="Q50" i="3" s="1"/>
  <c r="R50" i="3" s="1"/>
  <c r="S50" i="3" s="1"/>
  <c r="A51" i="3"/>
  <c r="B51" i="3" s="1"/>
  <c r="AA50" i="3"/>
  <c r="G15" i="3"/>
  <c r="I15" i="3" s="1"/>
  <c r="V15" i="3"/>
  <c r="AE15" i="3"/>
  <c r="T50" i="3" l="1"/>
  <c r="A52" i="3"/>
  <c r="B52" i="3" s="1"/>
  <c r="AA51" i="3"/>
  <c r="AD51" i="3"/>
  <c r="Z51" i="3"/>
  <c r="P51" i="3"/>
  <c r="Q51" i="3" s="1"/>
  <c r="R51" i="3" s="1"/>
  <c r="S51" i="3" s="1"/>
  <c r="AC51" i="3"/>
  <c r="J15" i="3"/>
  <c r="L15" i="3" s="1"/>
  <c r="M15" i="3"/>
  <c r="N15" i="3" s="1"/>
  <c r="W15" i="3"/>
  <c r="T51" i="3" l="1"/>
  <c r="A53" i="3"/>
  <c r="B53" i="3" s="1"/>
  <c r="AC52" i="3"/>
  <c r="AA52" i="3"/>
  <c r="P52" i="3"/>
  <c r="Q52" i="3" s="1"/>
  <c r="R52" i="3" s="1"/>
  <c r="S52" i="3" s="1"/>
  <c r="Z52" i="3"/>
  <c r="AD52" i="3"/>
  <c r="U15" i="3"/>
  <c r="D16" i="3" s="1"/>
  <c r="AG16" i="3"/>
  <c r="AH16" i="3"/>
  <c r="Y14" i="3"/>
  <c r="T52" i="3" l="1"/>
  <c r="A54" i="3"/>
  <c r="B54" i="3" s="1"/>
  <c r="P53" i="3"/>
  <c r="Q53" i="3" s="1"/>
  <c r="R53" i="3" s="1"/>
  <c r="S53" i="3" s="1"/>
  <c r="AD53" i="3"/>
  <c r="AA53" i="3"/>
  <c r="AC53" i="3"/>
  <c r="Z53" i="3"/>
  <c r="E16" i="3"/>
  <c r="H16" i="3" s="1"/>
  <c r="K16" i="3" s="1"/>
  <c r="G16" i="3"/>
  <c r="T53" i="3" l="1"/>
  <c r="A55" i="3"/>
  <c r="B55" i="3" s="1"/>
  <c r="P54" i="3"/>
  <c r="Q54" i="3" s="1"/>
  <c r="R54" i="3" s="1"/>
  <c r="S54" i="3" s="1"/>
  <c r="Z54" i="3"/>
  <c r="AA54" i="3"/>
  <c r="AC54" i="3"/>
  <c r="AD54" i="3"/>
  <c r="F16" i="3"/>
  <c r="I16" i="3"/>
  <c r="J16" i="3"/>
  <c r="M16" i="3"/>
  <c r="N16" i="3" s="1"/>
  <c r="V16" i="3"/>
  <c r="AE16" i="3"/>
  <c r="T54" i="3" l="1"/>
  <c r="Z55" i="3"/>
  <c r="AD55" i="3"/>
  <c r="P55" i="3"/>
  <c r="Q55" i="3" s="1"/>
  <c r="R55" i="3" s="1"/>
  <c r="S55" i="3" s="1"/>
  <c r="AA55" i="3"/>
  <c r="A56" i="3"/>
  <c r="B56" i="3" s="1"/>
  <c r="AC55" i="3"/>
  <c r="L16" i="3"/>
  <c r="W16" i="3"/>
  <c r="T55" i="3" l="1"/>
  <c r="P56" i="3"/>
  <c r="Q56" i="3" s="1"/>
  <c r="R56" i="3" s="1"/>
  <c r="S56" i="3" s="1"/>
  <c r="AD56" i="3"/>
  <c r="A57" i="3"/>
  <c r="B57" i="3" s="1"/>
  <c r="AC56" i="3"/>
  <c r="AA56" i="3"/>
  <c r="Z56" i="3"/>
  <c r="U16" i="3"/>
  <c r="D17" i="3" s="1"/>
  <c r="AG17" i="3"/>
  <c r="AH17" i="3"/>
  <c r="Y15" i="3"/>
  <c r="T56" i="3" l="1"/>
  <c r="AD57" i="3"/>
  <c r="AC57" i="3"/>
  <c r="Z57" i="3"/>
  <c r="AA57" i="3"/>
  <c r="A58" i="3"/>
  <c r="B58" i="3" s="1"/>
  <c r="P57" i="3"/>
  <c r="Q57" i="3" s="1"/>
  <c r="R57" i="3" s="1"/>
  <c r="S57" i="3" s="1"/>
  <c r="G17" i="3"/>
  <c r="E17" i="3"/>
  <c r="H17" i="3" s="1"/>
  <c r="T57" i="3" l="1"/>
  <c r="AD58" i="3"/>
  <c r="A59" i="3"/>
  <c r="B59" i="3" s="1"/>
  <c r="P58" i="3"/>
  <c r="Q58" i="3" s="1"/>
  <c r="R58" i="3" s="1"/>
  <c r="S58" i="3" s="1"/>
  <c r="AA58" i="3"/>
  <c r="Z58" i="3"/>
  <c r="AC58" i="3"/>
  <c r="F17" i="3"/>
  <c r="I17" i="3"/>
  <c r="J17" i="3"/>
  <c r="M17" i="3"/>
  <c r="N17" i="3" s="1"/>
  <c r="K17" i="3"/>
  <c r="T58" i="3" l="1"/>
  <c r="AA59" i="3"/>
  <c r="P59" i="3"/>
  <c r="Q59" i="3" s="1"/>
  <c r="R59" i="3" s="1"/>
  <c r="S59" i="3" s="1"/>
  <c r="AD59" i="3"/>
  <c r="A60" i="3"/>
  <c r="B60" i="3" s="1"/>
  <c r="Z59" i="3"/>
  <c r="AC59" i="3"/>
  <c r="V17" i="3"/>
  <c r="W17" i="3" s="1"/>
  <c r="AE17" i="3"/>
  <c r="L17" i="3"/>
  <c r="T59" i="3" l="1"/>
  <c r="Z60" i="3"/>
  <c r="AA60" i="3"/>
  <c r="AD60" i="3"/>
  <c r="P60" i="3"/>
  <c r="Q60" i="3" s="1"/>
  <c r="R60" i="3" s="1"/>
  <c r="S60" i="3" s="1"/>
  <c r="A61" i="3"/>
  <c r="B61" i="3" s="1"/>
  <c r="AC60" i="3"/>
  <c r="U17" i="3"/>
  <c r="E18" i="3" s="1"/>
  <c r="H18" i="3" s="1"/>
  <c r="AG18" i="3"/>
  <c r="AH18" i="3"/>
  <c r="Y16" i="3"/>
  <c r="T60" i="3" l="1"/>
  <c r="A62" i="3"/>
  <c r="B62" i="3" s="1"/>
  <c r="AD61" i="3"/>
  <c r="AA61" i="3"/>
  <c r="Z61" i="3"/>
  <c r="P61" i="3"/>
  <c r="Q61" i="3" s="1"/>
  <c r="R61" i="3" s="1"/>
  <c r="S61" i="3" s="1"/>
  <c r="AC61" i="3"/>
  <c r="D18" i="3"/>
  <c r="G18" i="3" s="1"/>
  <c r="K18" i="3"/>
  <c r="T61" i="3" l="1"/>
  <c r="Z62" i="3"/>
  <c r="P62" i="3"/>
  <c r="Q62" i="3" s="1"/>
  <c r="R62" i="3" s="1"/>
  <c r="S62" i="3" s="1"/>
  <c r="AD62" i="3"/>
  <c r="AA62" i="3"/>
  <c r="A63" i="3"/>
  <c r="B63" i="3" s="1"/>
  <c r="AC62" i="3"/>
  <c r="F18" i="3"/>
  <c r="I18" i="3"/>
  <c r="J18" i="3"/>
  <c r="M18" i="3"/>
  <c r="N18" i="3" s="1"/>
  <c r="V18" i="3"/>
  <c r="AE18" i="3"/>
  <c r="T62" i="3" l="1"/>
  <c r="AA63" i="3"/>
  <c r="P63" i="3"/>
  <c r="Q63" i="3" s="1"/>
  <c r="R63" i="3" s="1"/>
  <c r="S63" i="3" s="1"/>
  <c r="AD63" i="3"/>
  <c r="A64" i="3"/>
  <c r="B64" i="3" s="1"/>
  <c r="Z63" i="3"/>
  <c r="AC63" i="3"/>
  <c r="L18" i="3"/>
  <c r="W18" i="3"/>
  <c r="T63" i="3" l="1"/>
  <c r="AA64" i="3"/>
  <c r="AD64" i="3"/>
  <c r="P64" i="3"/>
  <c r="Q64" i="3" s="1"/>
  <c r="R64" i="3" s="1"/>
  <c r="S64" i="3" s="1"/>
  <c r="Z64" i="3"/>
  <c r="AC64" i="3"/>
  <c r="A65" i="3"/>
  <c r="B65" i="3" s="1"/>
  <c r="U18" i="3"/>
  <c r="D19" i="3" s="1"/>
  <c r="AH19" i="3"/>
  <c r="AG19" i="3"/>
  <c r="Y17" i="3"/>
  <c r="T64" i="3" l="1"/>
  <c r="AA65" i="3"/>
  <c r="AD65" i="3"/>
  <c r="Z65" i="3"/>
  <c r="A66" i="3"/>
  <c r="B66" i="3" s="1"/>
  <c r="AC65" i="3"/>
  <c r="P65" i="3"/>
  <c r="Q65" i="3" s="1"/>
  <c r="R65" i="3" s="1"/>
  <c r="S65" i="3" s="1"/>
  <c r="G19" i="3"/>
  <c r="E19" i="3"/>
  <c r="H19" i="3" s="1"/>
  <c r="T65" i="3" l="1"/>
  <c r="AC66" i="3"/>
  <c r="AA66" i="3"/>
  <c r="A67" i="3"/>
  <c r="B67" i="3" s="1"/>
  <c r="P66" i="3"/>
  <c r="Q66" i="3" s="1"/>
  <c r="R66" i="3" s="1"/>
  <c r="S66" i="3" s="1"/>
  <c r="AD66" i="3"/>
  <c r="Z66" i="3"/>
  <c r="F19" i="3"/>
  <c r="I19" i="3"/>
  <c r="J19" i="3"/>
  <c r="M19" i="3"/>
  <c r="N19" i="3" s="1"/>
  <c r="K19" i="3"/>
  <c r="T66" i="3" l="1"/>
  <c r="AA67" i="3"/>
  <c r="AD67" i="3"/>
  <c r="P67" i="3"/>
  <c r="Q67" i="3" s="1"/>
  <c r="R67" i="3" s="1"/>
  <c r="S67" i="3" s="1"/>
  <c r="A68" i="3"/>
  <c r="B68" i="3" s="1"/>
  <c r="Z67" i="3"/>
  <c r="AC67" i="3"/>
  <c r="V19" i="3"/>
  <c r="W19" i="3" s="1"/>
  <c r="AE19" i="3"/>
  <c r="L19" i="3"/>
  <c r="T67" i="3" l="1"/>
  <c r="AD68" i="3"/>
  <c r="AC68" i="3"/>
  <c r="A69" i="3"/>
  <c r="B69" i="3" s="1"/>
  <c r="P68" i="3"/>
  <c r="Q68" i="3" s="1"/>
  <c r="R68" i="3" s="1"/>
  <c r="S68" i="3" s="1"/>
  <c r="AA68" i="3"/>
  <c r="Z68" i="3"/>
  <c r="AH20" i="3"/>
  <c r="U19" i="3"/>
  <c r="E20" i="3" s="1"/>
  <c r="H20" i="3" s="1"/>
  <c r="AG20" i="3"/>
  <c r="Y18" i="3"/>
  <c r="T68" i="3" l="1"/>
  <c r="Z69" i="3"/>
  <c r="P69" i="3"/>
  <c r="Q69" i="3" s="1"/>
  <c r="R69" i="3" s="1"/>
  <c r="S69" i="3" s="1"/>
  <c r="AD69" i="3"/>
  <c r="AC69" i="3"/>
  <c r="AA69" i="3"/>
  <c r="A70" i="3"/>
  <c r="B70" i="3" s="1"/>
  <c r="D20" i="3"/>
  <c r="G20" i="3" s="1"/>
  <c r="K20" i="3"/>
  <c r="T69" i="3" l="1"/>
  <c r="P70" i="3"/>
  <c r="Q70" i="3" s="1"/>
  <c r="R70" i="3" s="1"/>
  <c r="S70" i="3" s="1"/>
  <c r="Z70" i="3"/>
  <c r="AD70" i="3"/>
  <c r="A71" i="3"/>
  <c r="B71" i="3" s="1"/>
  <c r="AC70" i="3"/>
  <c r="AA70" i="3"/>
  <c r="F20" i="3"/>
  <c r="V20" i="3"/>
  <c r="AE20" i="3"/>
  <c r="I20" i="3"/>
  <c r="J20" i="3"/>
  <c r="M20" i="3"/>
  <c r="N20" i="3" s="1"/>
  <c r="T70" i="3" l="1"/>
  <c r="AD71" i="3"/>
  <c r="A72" i="3"/>
  <c r="B72" i="3" s="1"/>
  <c r="AC71" i="3"/>
  <c r="P71" i="3"/>
  <c r="Q71" i="3" s="1"/>
  <c r="R71" i="3" s="1"/>
  <c r="S71" i="3" s="1"/>
  <c r="AA71" i="3"/>
  <c r="Z71" i="3"/>
  <c r="L20" i="3"/>
  <c r="W20" i="3"/>
  <c r="T71" i="3" l="1"/>
  <c r="AD72" i="3"/>
  <c r="A73" i="3"/>
  <c r="B73" i="3" s="1"/>
  <c r="P72" i="3"/>
  <c r="Q72" i="3" s="1"/>
  <c r="R72" i="3" s="1"/>
  <c r="S72" i="3" s="1"/>
  <c r="AA72" i="3"/>
  <c r="Z72" i="3"/>
  <c r="AC72" i="3"/>
  <c r="AG21" i="3"/>
  <c r="U20" i="3"/>
  <c r="E21" i="3" s="1"/>
  <c r="H21" i="3" s="1"/>
  <c r="AH21" i="3"/>
  <c r="Y19" i="3"/>
  <c r="T72" i="3" l="1"/>
  <c r="P73" i="3"/>
  <c r="Q73" i="3" s="1"/>
  <c r="R73" i="3" s="1"/>
  <c r="S73" i="3" s="1"/>
  <c r="AC73" i="3"/>
  <c r="AD73" i="3"/>
  <c r="A74" i="3"/>
  <c r="B74" i="3" s="1"/>
  <c r="AA73" i="3"/>
  <c r="Z73" i="3"/>
  <c r="D21" i="3"/>
  <c r="G21" i="3" s="1"/>
  <c r="K21" i="3"/>
  <c r="T73" i="3" l="1"/>
  <c r="AC74" i="3"/>
  <c r="P74" i="3"/>
  <c r="Q74" i="3" s="1"/>
  <c r="R74" i="3" s="1"/>
  <c r="S74" i="3" s="1"/>
  <c r="A75" i="3"/>
  <c r="B75" i="3" s="1"/>
  <c r="AA74" i="3"/>
  <c r="AD74" i="3"/>
  <c r="Z74" i="3"/>
  <c r="F21" i="3"/>
  <c r="I21" i="3"/>
  <c r="J21" i="3"/>
  <c r="M21" i="3"/>
  <c r="N21" i="3" s="1"/>
  <c r="V21" i="3"/>
  <c r="AE21" i="3"/>
  <c r="T74" i="3" l="1"/>
  <c r="P75" i="3"/>
  <c r="Q75" i="3" s="1"/>
  <c r="R75" i="3" s="1"/>
  <c r="S75" i="3" s="1"/>
  <c r="Z75" i="3"/>
  <c r="AD75" i="3"/>
  <c r="A76" i="3"/>
  <c r="B76" i="3" s="1"/>
  <c r="AC75" i="3"/>
  <c r="AA75" i="3"/>
  <c r="W21" i="3"/>
  <c r="L21" i="3"/>
  <c r="T75" i="3" l="1"/>
  <c r="A77" i="3"/>
  <c r="B77" i="3" s="1"/>
  <c r="AC76" i="3"/>
  <c r="AA76" i="3"/>
  <c r="AD76" i="3"/>
  <c r="P76" i="3"/>
  <c r="Q76" i="3" s="1"/>
  <c r="R76" i="3" s="1"/>
  <c r="S76" i="3" s="1"/>
  <c r="Z76" i="3"/>
  <c r="AG22" i="3"/>
  <c r="U21" i="3"/>
  <c r="D22" i="3" s="1"/>
  <c r="AH22" i="3"/>
  <c r="Y20" i="3"/>
  <c r="T76" i="3" l="1"/>
  <c r="AC77" i="3"/>
  <c r="A78" i="3"/>
  <c r="B78" i="3" s="1"/>
  <c r="AA77" i="3"/>
  <c r="Z77" i="3"/>
  <c r="P77" i="3"/>
  <c r="Q77" i="3" s="1"/>
  <c r="R77" i="3" s="1"/>
  <c r="S77" i="3" s="1"/>
  <c r="AD77" i="3"/>
  <c r="G22" i="3"/>
  <c r="E22" i="3"/>
  <c r="H22" i="3" s="1"/>
  <c r="T77" i="3" l="1"/>
  <c r="P78" i="3"/>
  <c r="Q78" i="3" s="1"/>
  <c r="R78" i="3" s="1"/>
  <c r="S78" i="3" s="1"/>
  <c r="AA78" i="3"/>
  <c r="A79" i="3"/>
  <c r="B79" i="3" s="1"/>
  <c r="AD78" i="3"/>
  <c r="AC78" i="3"/>
  <c r="Z78" i="3"/>
  <c r="I22" i="3"/>
  <c r="J22" i="3"/>
  <c r="M22" i="3"/>
  <c r="N22" i="3" s="1"/>
  <c r="K22" i="3"/>
  <c r="F22" i="3"/>
  <c r="T78" i="3" l="1"/>
  <c r="AA79" i="3"/>
  <c r="P79" i="3"/>
  <c r="Q79" i="3" s="1"/>
  <c r="R79" i="3" s="1"/>
  <c r="S79" i="3" s="1"/>
  <c r="AC79" i="3"/>
  <c r="AD79" i="3"/>
  <c r="A80" i="3"/>
  <c r="B80" i="3" s="1"/>
  <c r="Z79" i="3"/>
  <c r="L22" i="3"/>
  <c r="V22" i="3"/>
  <c r="W22" i="3" s="1"/>
  <c r="AE22" i="3"/>
  <c r="T79" i="3" l="1"/>
  <c r="AA80" i="3"/>
  <c r="A81" i="3"/>
  <c r="B81" i="3" s="1"/>
  <c r="AD80" i="3"/>
  <c r="AC80" i="3"/>
  <c r="Z80" i="3"/>
  <c r="P80" i="3"/>
  <c r="Q80" i="3" s="1"/>
  <c r="R80" i="3" s="1"/>
  <c r="S80" i="3" s="1"/>
  <c r="U22" i="3"/>
  <c r="E23" i="3" s="1"/>
  <c r="H23" i="3" s="1"/>
  <c r="AH23" i="3"/>
  <c r="AG23" i="3"/>
  <c r="Y21" i="3"/>
  <c r="T80" i="3" l="1"/>
  <c r="P81" i="3"/>
  <c r="Q81" i="3" s="1"/>
  <c r="R81" i="3" s="1"/>
  <c r="S81" i="3" s="1"/>
  <c r="AC81" i="3"/>
  <c r="AA81" i="3"/>
  <c r="A82" i="3"/>
  <c r="B82" i="3" s="1"/>
  <c r="AD81" i="3"/>
  <c r="Z81" i="3"/>
  <c r="K23" i="3"/>
  <c r="D23" i="3"/>
  <c r="T81" i="3" l="1"/>
  <c r="Z82" i="3"/>
  <c r="AD82" i="3"/>
  <c r="A83" i="3"/>
  <c r="B83" i="3" s="1"/>
  <c r="AC82" i="3"/>
  <c r="P82" i="3"/>
  <c r="Q82" i="3" s="1"/>
  <c r="R82" i="3" s="1"/>
  <c r="S82" i="3" s="1"/>
  <c r="AA82" i="3"/>
  <c r="V23" i="3"/>
  <c r="AE23" i="3"/>
  <c r="F23" i="3"/>
  <c r="G23" i="3"/>
  <c r="T82" i="3" l="1"/>
  <c r="AC83" i="3"/>
  <c r="AA83" i="3"/>
  <c r="AD83" i="3"/>
  <c r="A84" i="3"/>
  <c r="B84" i="3" s="1"/>
  <c r="P83" i="3"/>
  <c r="Q83" i="3" s="1"/>
  <c r="R83" i="3" s="1"/>
  <c r="S83" i="3" s="1"/>
  <c r="Z83" i="3"/>
  <c r="I23" i="3"/>
  <c r="W23" i="3" s="1"/>
  <c r="J23" i="3"/>
  <c r="M23" i="3"/>
  <c r="N23" i="3" s="1"/>
  <c r="T83" i="3" l="1"/>
  <c r="Z84" i="3"/>
  <c r="AA84" i="3"/>
  <c r="A85" i="3"/>
  <c r="B85" i="3" s="1"/>
  <c r="AD84" i="3"/>
  <c r="P84" i="3"/>
  <c r="Q84" i="3" s="1"/>
  <c r="R84" i="3" s="1"/>
  <c r="S84" i="3" s="1"/>
  <c r="AC84" i="3"/>
  <c r="L23" i="3"/>
  <c r="T84" i="3" l="1"/>
  <c r="AA85" i="3"/>
  <c r="P85" i="3"/>
  <c r="Q85" i="3" s="1"/>
  <c r="R85" i="3" s="1"/>
  <c r="S85" i="3" s="1"/>
  <c r="AC85" i="3"/>
  <c r="AD85" i="3"/>
  <c r="A86" i="3"/>
  <c r="B86" i="3" s="1"/>
  <c r="Z85" i="3"/>
  <c r="AG24" i="3"/>
  <c r="AH24" i="3"/>
  <c r="U23" i="3"/>
  <c r="E24" i="3" s="1"/>
  <c r="H24" i="3" s="1"/>
  <c r="Y22" i="3"/>
  <c r="T85" i="3" l="1"/>
  <c r="P86" i="3"/>
  <c r="Q86" i="3" s="1"/>
  <c r="R86" i="3" s="1"/>
  <c r="S86" i="3" s="1"/>
  <c r="AD86" i="3"/>
  <c r="AC86" i="3"/>
  <c r="Z86" i="3"/>
  <c r="A87" i="3"/>
  <c r="B87" i="3" s="1"/>
  <c r="AA86" i="3"/>
  <c r="D24" i="3"/>
  <c r="G24" i="3" s="1"/>
  <c r="K24" i="3"/>
  <c r="T86" i="3" l="1"/>
  <c r="Z87" i="3"/>
  <c r="P87" i="3"/>
  <c r="Q87" i="3" s="1"/>
  <c r="R87" i="3" s="1"/>
  <c r="S87" i="3" s="1"/>
  <c r="AA87" i="3"/>
  <c r="AD87" i="3"/>
  <c r="AC87" i="3"/>
  <c r="A88" i="3"/>
  <c r="B88" i="3" s="1"/>
  <c r="F24" i="3"/>
  <c r="V24" i="3"/>
  <c r="AE24" i="3"/>
  <c r="I24" i="3"/>
  <c r="J24" i="3"/>
  <c r="M24" i="3"/>
  <c r="N24" i="3" s="1"/>
  <c r="T87" i="3" l="1"/>
  <c r="AD88" i="3"/>
  <c r="A89" i="3"/>
  <c r="B89" i="3" s="1"/>
  <c r="P88" i="3"/>
  <c r="Q88" i="3" s="1"/>
  <c r="R88" i="3" s="1"/>
  <c r="S88" i="3" s="1"/>
  <c r="AC88" i="3"/>
  <c r="Z88" i="3"/>
  <c r="AA88" i="3"/>
  <c r="L24" i="3"/>
  <c r="W24" i="3"/>
  <c r="T88" i="3" l="1"/>
  <c r="Z89" i="3"/>
  <c r="AC89" i="3"/>
  <c r="AD89" i="3"/>
  <c r="A90" i="3"/>
  <c r="B90" i="3" s="1"/>
  <c r="AA89" i="3"/>
  <c r="P89" i="3"/>
  <c r="Q89" i="3" s="1"/>
  <c r="R89" i="3" s="1"/>
  <c r="S89" i="3" s="1"/>
  <c r="AH25" i="3"/>
  <c r="AG25" i="3"/>
  <c r="U24" i="3"/>
  <c r="D25" i="3" s="1"/>
  <c r="Y23" i="3"/>
  <c r="T89" i="3" l="1"/>
  <c r="A91" i="3"/>
  <c r="B91" i="3" s="1"/>
  <c r="P90" i="3"/>
  <c r="Q90" i="3" s="1"/>
  <c r="R90" i="3" s="1"/>
  <c r="S90" i="3" s="1"/>
  <c r="Z90" i="3"/>
  <c r="AD90" i="3"/>
  <c r="AC90" i="3"/>
  <c r="AA90" i="3"/>
  <c r="E25" i="3"/>
  <c r="H25" i="3" s="1"/>
  <c r="K25" i="3" s="1"/>
  <c r="G25" i="3"/>
  <c r="T90" i="3" l="1"/>
  <c r="P91" i="3"/>
  <c r="Q91" i="3" s="1"/>
  <c r="R91" i="3" s="1"/>
  <c r="S91" i="3" s="1"/>
  <c r="A92" i="3"/>
  <c r="B92" i="3" s="1"/>
  <c r="AD91" i="3"/>
  <c r="AC91" i="3"/>
  <c r="Z91" i="3"/>
  <c r="AA91" i="3"/>
  <c r="F25" i="3"/>
  <c r="I25" i="3"/>
  <c r="J25" i="3"/>
  <c r="M25" i="3"/>
  <c r="N25" i="3" s="1"/>
  <c r="V25" i="3"/>
  <c r="AE25" i="3"/>
  <c r="T91" i="3" l="1"/>
  <c r="AD92" i="3"/>
  <c r="Z92" i="3"/>
  <c r="AA92" i="3"/>
  <c r="P92" i="3"/>
  <c r="Q92" i="3" s="1"/>
  <c r="R92" i="3" s="1"/>
  <c r="S92" i="3" s="1"/>
  <c r="AC92" i="3"/>
  <c r="A93" i="3"/>
  <c r="B93" i="3" s="1"/>
  <c r="W25" i="3"/>
  <c r="L25" i="3"/>
  <c r="T92" i="3" l="1"/>
  <c r="AC93" i="3"/>
  <c r="Z93" i="3"/>
  <c r="A94" i="3"/>
  <c r="B94" i="3" s="1"/>
  <c r="AA93" i="3"/>
  <c r="P93" i="3"/>
  <c r="Q93" i="3" s="1"/>
  <c r="R93" i="3" s="1"/>
  <c r="S93" i="3" s="1"/>
  <c r="AD93" i="3"/>
  <c r="U25" i="3"/>
  <c r="E26" i="3" s="1"/>
  <c r="H26" i="3" s="1"/>
  <c r="AH26" i="3"/>
  <c r="AG26" i="3"/>
  <c r="Y24" i="3"/>
  <c r="T93" i="3" l="1"/>
  <c r="AC94" i="3"/>
  <c r="Z94" i="3"/>
  <c r="AA94" i="3"/>
  <c r="AD94" i="3"/>
  <c r="P94" i="3"/>
  <c r="Q94" i="3" s="1"/>
  <c r="R94" i="3" s="1"/>
  <c r="S94" i="3" s="1"/>
  <c r="A95" i="3"/>
  <c r="B95" i="3" s="1"/>
  <c r="D26" i="3"/>
  <c r="G26" i="3" s="1"/>
  <c r="K26" i="3"/>
  <c r="T94" i="3" l="1"/>
  <c r="AD95" i="3"/>
  <c r="AA95" i="3"/>
  <c r="P95" i="3"/>
  <c r="Q95" i="3" s="1"/>
  <c r="R95" i="3" s="1"/>
  <c r="S95" i="3" s="1"/>
  <c r="A96" i="3"/>
  <c r="B96" i="3" s="1"/>
  <c r="AC95" i="3"/>
  <c r="Z95" i="3"/>
  <c r="F26" i="3"/>
  <c r="I26" i="3"/>
  <c r="J26" i="3"/>
  <c r="M26" i="3"/>
  <c r="N26" i="3" s="1"/>
  <c r="V26" i="3"/>
  <c r="AE26" i="3"/>
  <c r="T95" i="3" l="1"/>
  <c r="P96" i="3"/>
  <c r="Q96" i="3" s="1"/>
  <c r="R96" i="3" s="1"/>
  <c r="S96" i="3" s="1"/>
  <c r="AD96" i="3"/>
  <c r="Z96" i="3"/>
  <c r="AC96" i="3"/>
  <c r="AA96" i="3"/>
  <c r="A97" i="3"/>
  <c r="B97" i="3" s="1"/>
  <c r="W26" i="3"/>
  <c r="L26" i="3"/>
  <c r="T96" i="3" l="1"/>
  <c r="AD97" i="3"/>
  <c r="AA97" i="3"/>
  <c r="Z97" i="3"/>
  <c r="AC97" i="3"/>
  <c r="P97" i="3"/>
  <c r="Q97" i="3" s="1"/>
  <c r="R97" i="3" s="1"/>
  <c r="S97" i="3" s="1"/>
  <c r="A98" i="3"/>
  <c r="B98" i="3" s="1"/>
  <c r="AH27" i="3"/>
  <c r="U26" i="3"/>
  <c r="D27" i="3" s="1"/>
  <c r="AG27" i="3"/>
  <c r="Y25" i="3"/>
  <c r="T97" i="3" l="1"/>
  <c r="AA98" i="3"/>
  <c r="Z98" i="3"/>
  <c r="AC98" i="3"/>
  <c r="A99" i="3"/>
  <c r="B99" i="3" s="1"/>
  <c r="AD98" i="3"/>
  <c r="P98" i="3"/>
  <c r="Q98" i="3" s="1"/>
  <c r="R98" i="3" s="1"/>
  <c r="S98" i="3" s="1"/>
  <c r="E27" i="3"/>
  <c r="H27" i="3" s="1"/>
  <c r="K27" i="3" s="1"/>
  <c r="G27" i="3"/>
  <c r="T98" i="3" l="1"/>
  <c r="AD99" i="3"/>
  <c r="P99" i="3"/>
  <c r="Q99" i="3" s="1"/>
  <c r="R99" i="3" s="1"/>
  <c r="S99" i="3" s="1"/>
  <c r="Z99" i="3"/>
  <c r="AC99" i="3"/>
  <c r="AA99" i="3"/>
  <c r="A100" i="3"/>
  <c r="B100" i="3" s="1"/>
  <c r="F27" i="3"/>
  <c r="I27" i="3"/>
  <c r="J27" i="3"/>
  <c r="M27" i="3"/>
  <c r="N27" i="3" s="1"/>
  <c r="V27" i="3"/>
  <c r="AE27" i="3"/>
  <c r="T99" i="3" l="1"/>
  <c r="A101" i="3"/>
  <c r="B101" i="3" s="1"/>
  <c r="AA100" i="3"/>
  <c r="AD100" i="3"/>
  <c r="P100" i="3"/>
  <c r="Q100" i="3" s="1"/>
  <c r="R100" i="3" s="1"/>
  <c r="S100" i="3" s="1"/>
  <c r="AC100" i="3"/>
  <c r="Z100" i="3"/>
  <c r="L27" i="3"/>
  <c r="W27" i="3"/>
  <c r="T100" i="3" l="1"/>
  <c r="AC101" i="3"/>
  <c r="P101" i="3"/>
  <c r="Q101" i="3" s="1"/>
  <c r="R101" i="3" s="1"/>
  <c r="S101" i="3" s="1"/>
  <c r="Z101" i="3"/>
  <c r="AA101" i="3"/>
  <c r="AD101" i="3"/>
  <c r="A102" i="3"/>
  <c r="B102" i="3" s="1"/>
  <c r="U27" i="3"/>
  <c r="E28" i="3" s="1"/>
  <c r="H28" i="3" s="1"/>
  <c r="AG28" i="3"/>
  <c r="AH28" i="3"/>
  <c r="Y26" i="3"/>
  <c r="T101" i="3" l="1"/>
  <c r="Z102" i="3"/>
  <c r="P102" i="3"/>
  <c r="Q102" i="3" s="1"/>
  <c r="R102" i="3" s="1"/>
  <c r="S102" i="3" s="1"/>
  <c r="AA102" i="3"/>
  <c r="A103" i="3"/>
  <c r="B103" i="3" s="1"/>
  <c r="AD102" i="3"/>
  <c r="AC102" i="3"/>
  <c r="D28" i="3"/>
  <c r="F28" i="3" s="1"/>
  <c r="K28" i="3"/>
  <c r="T102" i="3" l="1"/>
  <c r="P103" i="3"/>
  <c r="Q103" i="3" s="1"/>
  <c r="R103" i="3" s="1"/>
  <c r="S103" i="3" s="1"/>
  <c r="AC103" i="3"/>
  <c r="Z103" i="3"/>
  <c r="A104" i="3"/>
  <c r="B104" i="3" s="1"/>
  <c r="AD103" i="3"/>
  <c r="AA103" i="3"/>
  <c r="G28" i="3"/>
  <c r="I28" i="3" s="1"/>
  <c r="V28" i="3"/>
  <c r="AE28" i="3"/>
  <c r="T103" i="3" l="1"/>
  <c r="A105" i="3"/>
  <c r="B105" i="3" s="1"/>
  <c r="P104" i="3"/>
  <c r="Q104" i="3" s="1"/>
  <c r="R104" i="3" s="1"/>
  <c r="S104" i="3" s="1"/>
  <c r="AC104" i="3"/>
  <c r="Z104" i="3"/>
  <c r="AA104" i="3"/>
  <c r="M28" i="3"/>
  <c r="N28" i="3" s="1"/>
  <c r="J28" i="3"/>
  <c r="L28" i="3" s="1"/>
  <c r="W28" i="3"/>
  <c r="T104" i="3" l="1"/>
  <c r="Z105" i="3"/>
  <c r="AC105" i="3"/>
  <c r="AA105" i="3"/>
  <c r="A106" i="3"/>
  <c r="B106" i="3" s="1"/>
  <c r="P105" i="3"/>
  <c r="Q105" i="3" s="1"/>
  <c r="R105" i="3" s="1"/>
  <c r="S105" i="3" s="1"/>
  <c r="AD105" i="3"/>
  <c r="AH29" i="3"/>
  <c r="AG29" i="3"/>
  <c r="U28" i="3"/>
  <c r="E29" i="3" s="1"/>
  <c r="H29" i="3" s="1"/>
  <c r="Y27" i="3"/>
  <c r="T105" i="3" l="1"/>
  <c r="Z106" i="3"/>
  <c r="AC106" i="3"/>
  <c r="A107" i="3"/>
  <c r="B107" i="3" s="1"/>
  <c r="AA106" i="3"/>
  <c r="P106" i="3"/>
  <c r="Q106" i="3" s="1"/>
  <c r="R106" i="3" s="1"/>
  <c r="S106" i="3" s="1"/>
  <c r="AD106" i="3"/>
  <c r="D29" i="3"/>
  <c r="F29" i="3" s="1"/>
  <c r="K29" i="3"/>
  <c r="T106" i="3" l="1"/>
  <c r="AC107" i="3"/>
  <c r="A108" i="3"/>
  <c r="B108" i="3" s="1"/>
  <c r="P107" i="3"/>
  <c r="Q107" i="3" s="1"/>
  <c r="R107" i="3" s="1"/>
  <c r="S107" i="3" s="1"/>
  <c r="Z107" i="3"/>
  <c r="AD107" i="3"/>
  <c r="AA107" i="3"/>
  <c r="G29" i="3"/>
  <c r="M29" i="3" s="1"/>
  <c r="N29" i="3" s="1"/>
  <c r="V29" i="3"/>
  <c r="AE29" i="3"/>
  <c r="T107" i="3" l="1"/>
  <c r="AA108" i="3"/>
  <c r="AC108" i="3"/>
  <c r="P108" i="3"/>
  <c r="Q108" i="3" s="1"/>
  <c r="R108" i="3" s="1"/>
  <c r="S108" i="3" s="1"/>
  <c r="Z108" i="3"/>
  <c r="AD108" i="3"/>
  <c r="A109" i="3"/>
  <c r="B109" i="3" s="1"/>
  <c r="J29" i="3"/>
  <c r="L29" i="3" s="1"/>
  <c r="I29" i="3"/>
  <c r="W29" i="3" s="1"/>
  <c r="T108" i="3" l="1"/>
  <c r="P109" i="3"/>
  <c r="Q109" i="3" s="1"/>
  <c r="R109" i="3" s="1"/>
  <c r="S109" i="3" s="1"/>
  <c r="AC109" i="3"/>
  <c r="AD109" i="3"/>
  <c r="Z109" i="3"/>
  <c r="A110" i="3"/>
  <c r="B110" i="3" s="1"/>
  <c r="AA109" i="3"/>
  <c r="U29" i="3"/>
  <c r="D30" i="3" s="1"/>
  <c r="AG30" i="3"/>
  <c r="AH30" i="3"/>
  <c r="Y28" i="3"/>
  <c r="T109" i="3" l="1"/>
  <c r="A111" i="3"/>
  <c r="B111" i="3" s="1"/>
  <c r="AD110" i="3"/>
  <c r="P110" i="3"/>
  <c r="Q110" i="3" s="1"/>
  <c r="R110" i="3" s="1"/>
  <c r="S110" i="3" s="1"/>
  <c r="AC110" i="3"/>
  <c r="AA110" i="3"/>
  <c r="Z110" i="3"/>
  <c r="E30" i="3"/>
  <c r="H30" i="3" s="1"/>
  <c r="K30" i="3" s="1"/>
  <c r="G30" i="3"/>
  <c r="T110" i="3" l="1"/>
  <c r="AC111" i="3"/>
  <c r="AD111" i="3"/>
  <c r="A112" i="3"/>
  <c r="B112" i="3" s="1"/>
  <c r="Z111" i="3"/>
  <c r="AA111" i="3"/>
  <c r="P111" i="3"/>
  <c r="Q111" i="3" s="1"/>
  <c r="R111" i="3" s="1"/>
  <c r="S111" i="3" s="1"/>
  <c r="F30" i="3"/>
  <c r="I30" i="3"/>
  <c r="J30" i="3"/>
  <c r="M30" i="3"/>
  <c r="N30" i="3" s="1"/>
  <c r="V30" i="3"/>
  <c r="AE30" i="3"/>
  <c r="T111" i="3" l="1"/>
  <c r="P112" i="3"/>
  <c r="Q112" i="3" s="1"/>
  <c r="R112" i="3" s="1"/>
  <c r="S112" i="3" s="1"/>
  <c r="Z112" i="3"/>
  <c r="AC112" i="3"/>
  <c r="AD112" i="3"/>
  <c r="A113" i="3"/>
  <c r="B113" i="3" s="1"/>
  <c r="AA112" i="3"/>
  <c r="W30" i="3"/>
  <c r="L30" i="3"/>
  <c r="T112" i="3" l="1"/>
  <c r="Z113" i="3"/>
  <c r="AD113" i="3"/>
  <c r="A114" i="3"/>
  <c r="B114" i="3" s="1"/>
  <c r="P113" i="3"/>
  <c r="Q113" i="3" s="1"/>
  <c r="R113" i="3" s="1"/>
  <c r="S113" i="3" s="1"/>
  <c r="AC113" i="3"/>
  <c r="AA113" i="3"/>
  <c r="U30" i="3"/>
  <c r="D31" i="3" s="1"/>
  <c r="AG31" i="3"/>
  <c r="AH31" i="3"/>
  <c r="Y29" i="3"/>
  <c r="T113" i="3" l="1"/>
  <c r="P114" i="3"/>
  <c r="Q114" i="3" s="1"/>
  <c r="R114" i="3" s="1"/>
  <c r="S114" i="3" s="1"/>
  <c r="AA114" i="3"/>
  <c r="Z114" i="3"/>
  <c r="AD114" i="3"/>
  <c r="AC114" i="3"/>
  <c r="A115" i="3"/>
  <c r="B115" i="3" s="1"/>
  <c r="E31" i="3"/>
  <c r="H31" i="3" s="1"/>
  <c r="K31" i="3" s="1"/>
  <c r="G31" i="3"/>
  <c r="T114" i="3" l="1"/>
  <c r="AA115" i="3"/>
  <c r="AD115" i="3"/>
  <c r="AC115" i="3"/>
  <c r="P115" i="3"/>
  <c r="Q115" i="3" s="1"/>
  <c r="R115" i="3" s="1"/>
  <c r="S115" i="3" s="1"/>
  <c r="A116" i="3"/>
  <c r="B116" i="3" s="1"/>
  <c r="Z115" i="3"/>
  <c r="F31" i="3"/>
  <c r="V31" i="3"/>
  <c r="AE31" i="3"/>
  <c r="I31" i="3"/>
  <c r="J31" i="3"/>
  <c r="M31" i="3"/>
  <c r="N31" i="3" s="1"/>
  <c r="T115" i="3" l="1"/>
  <c r="AA116" i="3"/>
  <c r="P116" i="3"/>
  <c r="Q116" i="3" s="1"/>
  <c r="R116" i="3" s="1"/>
  <c r="S116" i="3" s="1"/>
  <c r="AC116" i="3"/>
  <c r="Z116" i="3"/>
  <c r="AD116" i="3"/>
  <c r="A117" i="3"/>
  <c r="B117" i="3" s="1"/>
  <c r="L31" i="3"/>
  <c r="W31" i="3"/>
  <c r="T116" i="3" l="1"/>
  <c r="AC117" i="3"/>
  <c r="AA117" i="3"/>
  <c r="P117" i="3"/>
  <c r="Q117" i="3" s="1"/>
  <c r="R117" i="3" s="1"/>
  <c r="S117" i="3" s="1"/>
  <c r="Z117" i="3"/>
  <c r="A118" i="3"/>
  <c r="B118" i="3" s="1"/>
  <c r="AD117" i="3"/>
  <c r="AG32" i="3"/>
  <c r="AH32" i="3"/>
  <c r="U31" i="3"/>
  <c r="E32" i="3" s="1"/>
  <c r="H32" i="3" s="1"/>
  <c r="Y30" i="3"/>
  <c r="T117" i="3" l="1"/>
  <c r="AC118" i="3"/>
  <c r="AD118" i="3"/>
  <c r="Z118" i="3"/>
  <c r="AA118" i="3"/>
  <c r="P118" i="3"/>
  <c r="Q118" i="3" s="1"/>
  <c r="R118" i="3" s="1"/>
  <c r="S118" i="3" s="1"/>
  <c r="A119" i="3"/>
  <c r="B119" i="3" s="1"/>
  <c r="D32" i="3"/>
  <c r="F32" i="3" s="1"/>
  <c r="K32" i="3"/>
  <c r="T118" i="3" l="1"/>
  <c r="AC119" i="3"/>
  <c r="AA119" i="3"/>
  <c r="A120" i="3"/>
  <c r="B120" i="3" s="1"/>
  <c r="P119" i="3"/>
  <c r="Q119" i="3" s="1"/>
  <c r="R119" i="3" s="1"/>
  <c r="S119" i="3" s="1"/>
  <c r="AD119" i="3"/>
  <c r="Z119" i="3"/>
  <c r="G32" i="3"/>
  <c r="I32" i="3" s="1"/>
  <c r="V32" i="3"/>
  <c r="AE32" i="3"/>
  <c r="T119" i="3" l="1"/>
  <c r="A121" i="3"/>
  <c r="B121" i="3" s="1"/>
  <c r="AC120" i="3"/>
  <c r="P120" i="3"/>
  <c r="Q120" i="3" s="1"/>
  <c r="R120" i="3" s="1"/>
  <c r="S120" i="3" s="1"/>
  <c r="AA120" i="3"/>
  <c r="Z120" i="3"/>
  <c r="AD120" i="3"/>
  <c r="M32" i="3"/>
  <c r="N32" i="3" s="1"/>
  <c r="J32" i="3"/>
  <c r="L32" i="3" s="1"/>
  <c r="W32" i="3"/>
  <c r="T120" i="3" l="1"/>
  <c r="P121" i="3"/>
  <c r="Q121" i="3" s="1"/>
  <c r="R121" i="3" s="1"/>
  <c r="S121" i="3" s="1"/>
  <c r="AA121" i="3"/>
  <c r="AC121" i="3"/>
  <c r="Z121" i="3"/>
  <c r="A122" i="3"/>
  <c r="B122" i="3" s="1"/>
  <c r="AD121" i="3"/>
  <c r="AH33" i="3"/>
  <c r="AG33" i="3"/>
  <c r="U32" i="3"/>
  <c r="D33" i="3" s="1"/>
  <c r="Y31" i="3"/>
  <c r="T121" i="3" l="1"/>
  <c r="AC122" i="3"/>
  <c r="P122" i="3"/>
  <c r="Q122" i="3" s="1"/>
  <c r="R122" i="3" s="1"/>
  <c r="S122" i="3" s="1"/>
  <c r="AD122" i="3"/>
  <c r="AA122" i="3"/>
  <c r="Z122" i="3"/>
  <c r="A123" i="3"/>
  <c r="B123" i="3" s="1"/>
  <c r="E33" i="3"/>
  <c r="H33" i="3" s="1"/>
  <c r="K33" i="3" s="1"/>
  <c r="G33" i="3"/>
  <c r="T122" i="3" l="1"/>
  <c r="P123" i="3"/>
  <c r="Q123" i="3" s="1"/>
  <c r="R123" i="3" s="1"/>
  <c r="S123" i="3" s="1"/>
  <c r="AD123" i="3"/>
  <c r="AA123" i="3"/>
  <c r="A124" i="3"/>
  <c r="B124" i="3" s="1"/>
  <c r="AC123" i="3"/>
  <c r="Z123" i="3"/>
  <c r="F33" i="3"/>
  <c r="I33" i="3"/>
  <c r="J33" i="3"/>
  <c r="M33" i="3"/>
  <c r="N33" i="3" s="1"/>
  <c r="V33" i="3"/>
  <c r="AE33" i="3"/>
  <c r="T123" i="3" l="1"/>
  <c r="AC124" i="3"/>
  <c r="Z124" i="3"/>
  <c r="AD124" i="3"/>
  <c r="A125" i="3"/>
  <c r="B125" i="3" s="1"/>
  <c r="P124" i="3"/>
  <c r="Q124" i="3" s="1"/>
  <c r="R124" i="3" s="1"/>
  <c r="S124" i="3" s="1"/>
  <c r="AA124" i="3"/>
  <c r="W33" i="3"/>
  <c r="L33" i="3"/>
  <c r="T124" i="3" l="1"/>
  <c r="A126" i="3"/>
  <c r="B126" i="3" s="1"/>
  <c r="P125" i="3"/>
  <c r="Q125" i="3" s="1"/>
  <c r="R125" i="3" s="1"/>
  <c r="S125" i="3" s="1"/>
  <c r="Z125" i="3"/>
  <c r="AC125" i="3"/>
  <c r="AD125" i="3"/>
  <c r="AA125" i="3"/>
  <c r="AH34" i="3"/>
  <c r="AG34" i="3"/>
  <c r="U33" i="3"/>
  <c r="D34" i="3" s="1"/>
  <c r="Y32" i="3"/>
  <c r="T125" i="3" l="1"/>
  <c r="P126" i="3"/>
  <c r="Q126" i="3" s="1"/>
  <c r="R126" i="3" s="1"/>
  <c r="S126" i="3" s="1"/>
  <c r="Z126" i="3"/>
  <c r="A127" i="3"/>
  <c r="B127" i="3" s="1"/>
  <c r="AD126" i="3"/>
  <c r="AC126" i="3"/>
  <c r="AA126" i="3"/>
  <c r="G34" i="3"/>
  <c r="E34" i="3"/>
  <c r="H34" i="3" s="1"/>
  <c r="T126" i="3" l="1"/>
  <c r="P127" i="3"/>
  <c r="Q127" i="3" s="1"/>
  <c r="R127" i="3" s="1"/>
  <c r="S127" i="3" s="1"/>
  <c r="AA127" i="3"/>
  <c r="AC127" i="3"/>
  <c r="Z127" i="3"/>
  <c r="AD127" i="3"/>
  <c r="A128" i="3"/>
  <c r="B128" i="3" s="1"/>
  <c r="F34" i="3"/>
  <c r="I34" i="3"/>
  <c r="J34" i="3"/>
  <c r="M34" i="3"/>
  <c r="N34" i="3" s="1"/>
  <c r="K34" i="3"/>
  <c r="T127" i="3" l="1"/>
  <c r="P128" i="3"/>
  <c r="Q128" i="3" s="1"/>
  <c r="R128" i="3" s="1"/>
  <c r="S128" i="3" s="1"/>
  <c r="AA128" i="3"/>
  <c r="A129" i="3"/>
  <c r="B129" i="3" s="1"/>
  <c r="AD128" i="3"/>
  <c r="AC128" i="3"/>
  <c r="Z128" i="3"/>
  <c r="V34" i="3"/>
  <c r="W34" i="3" s="1"/>
  <c r="AE34" i="3"/>
  <c r="L34" i="3"/>
  <c r="T128" i="3" l="1"/>
  <c r="A130" i="3"/>
  <c r="B130" i="3" s="1"/>
  <c r="AD129" i="3"/>
  <c r="AA129" i="3"/>
  <c r="P129" i="3"/>
  <c r="Q129" i="3" s="1"/>
  <c r="R129" i="3" s="1"/>
  <c r="S129" i="3" s="1"/>
  <c r="AC129" i="3"/>
  <c r="Z129" i="3"/>
  <c r="U34" i="3"/>
  <c r="E35" i="3" s="1"/>
  <c r="H35" i="3" s="1"/>
  <c r="AH35" i="3"/>
  <c r="AG35" i="3"/>
  <c r="Y33" i="3"/>
  <c r="T129" i="3" l="1"/>
  <c r="AC130" i="3"/>
  <c r="A131" i="3"/>
  <c r="B131" i="3" s="1"/>
  <c r="P130" i="3"/>
  <c r="Q130" i="3" s="1"/>
  <c r="R130" i="3" s="1"/>
  <c r="S130" i="3" s="1"/>
  <c r="Z130" i="3"/>
  <c r="AA130" i="3"/>
  <c r="AD130" i="3"/>
  <c r="D35" i="3"/>
  <c r="G35" i="3" s="1"/>
  <c r="K35" i="3"/>
  <c r="T130" i="3" l="1"/>
  <c r="A132" i="3"/>
  <c r="B132" i="3" s="1"/>
  <c r="Z131" i="3"/>
  <c r="AD131" i="3"/>
  <c r="P131" i="3"/>
  <c r="Q131" i="3" s="1"/>
  <c r="R131" i="3" s="1"/>
  <c r="S131" i="3" s="1"/>
  <c r="AC131" i="3"/>
  <c r="AA131" i="3"/>
  <c r="F35" i="3"/>
  <c r="I35" i="3"/>
  <c r="J35" i="3"/>
  <c r="M35" i="3"/>
  <c r="N35" i="3" s="1"/>
  <c r="V35" i="3"/>
  <c r="AE35" i="3"/>
  <c r="T131" i="3" l="1"/>
  <c r="AD132" i="3"/>
  <c r="P132" i="3"/>
  <c r="Q132" i="3" s="1"/>
  <c r="R132" i="3" s="1"/>
  <c r="S132" i="3" s="1"/>
  <c r="A133" i="3"/>
  <c r="B133" i="3" s="1"/>
  <c r="AA132" i="3"/>
  <c r="Z132" i="3"/>
  <c r="AC132" i="3"/>
  <c r="W35" i="3"/>
  <c r="L35" i="3"/>
  <c r="T132" i="3" l="1"/>
  <c r="P133" i="3"/>
  <c r="Q133" i="3" s="1"/>
  <c r="R133" i="3" s="1"/>
  <c r="S133" i="3" s="1"/>
  <c r="AC133" i="3"/>
  <c r="AD133" i="3"/>
  <c r="AA133" i="3"/>
  <c r="A134" i="3"/>
  <c r="B134" i="3" s="1"/>
  <c r="Z133" i="3"/>
  <c r="U35" i="3"/>
  <c r="E36" i="3" s="1"/>
  <c r="H36" i="3" s="1"/>
  <c r="AG36" i="3"/>
  <c r="AH36" i="3"/>
  <c r="Y34" i="3"/>
  <c r="T133" i="3" l="1"/>
  <c r="A135" i="3"/>
  <c r="B135" i="3" s="1"/>
  <c r="P134" i="3"/>
  <c r="Q134" i="3" s="1"/>
  <c r="R134" i="3" s="1"/>
  <c r="S134" i="3" s="1"/>
  <c r="AC134" i="3"/>
  <c r="AA134" i="3"/>
  <c r="AD134" i="3"/>
  <c r="Z134" i="3"/>
  <c r="K36" i="3"/>
  <c r="D36" i="3"/>
  <c r="T134" i="3" l="1"/>
  <c r="AC135" i="3"/>
  <c r="Z135" i="3"/>
  <c r="P135" i="3"/>
  <c r="Q135" i="3" s="1"/>
  <c r="R135" i="3" s="1"/>
  <c r="S135" i="3" s="1"/>
  <c r="AD135" i="3"/>
  <c r="A136" i="3"/>
  <c r="B136" i="3" s="1"/>
  <c r="AA135" i="3"/>
  <c r="F36" i="3"/>
  <c r="G36" i="3"/>
  <c r="V36" i="3"/>
  <c r="AE36" i="3"/>
  <c r="T135" i="3" l="1"/>
  <c r="P136" i="3"/>
  <c r="Q136" i="3" s="1"/>
  <c r="R136" i="3" s="1"/>
  <c r="S136" i="3" s="1"/>
  <c r="AD136" i="3"/>
  <c r="A137" i="3"/>
  <c r="B137" i="3" s="1"/>
  <c r="AA136" i="3"/>
  <c r="AC136" i="3"/>
  <c r="Z136" i="3"/>
  <c r="I36" i="3"/>
  <c r="W36" i="3" s="1"/>
  <c r="J36" i="3"/>
  <c r="M36" i="3"/>
  <c r="N36" i="3" s="1"/>
  <c r="T136" i="3" l="1"/>
  <c r="AC137" i="3"/>
  <c r="A138" i="3"/>
  <c r="B138" i="3" s="1"/>
  <c r="Z137" i="3"/>
  <c r="AD137" i="3"/>
  <c r="AA137" i="3"/>
  <c r="P137" i="3"/>
  <c r="Q137" i="3" s="1"/>
  <c r="R137" i="3" s="1"/>
  <c r="S137" i="3" s="1"/>
  <c r="L36" i="3"/>
  <c r="T137" i="3" l="1"/>
  <c r="AD138" i="3"/>
  <c r="AC138" i="3"/>
  <c r="AA138" i="3"/>
  <c r="P138" i="3"/>
  <c r="Q138" i="3" s="1"/>
  <c r="R138" i="3" s="1"/>
  <c r="S138" i="3" s="1"/>
  <c r="Z138" i="3"/>
  <c r="A139" i="3"/>
  <c r="B139" i="3" s="1"/>
  <c r="AH37" i="3"/>
  <c r="AG37" i="3"/>
  <c r="U36" i="3"/>
  <c r="E37" i="3" s="1"/>
  <c r="H37" i="3" s="1"/>
  <c r="Y35" i="3"/>
  <c r="T138" i="3" l="1"/>
  <c r="P139" i="3"/>
  <c r="Q139" i="3" s="1"/>
  <c r="R139" i="3" s="1"/>
  <c r="S139" i="3" s="1"/>
  <c r="A140" i="3"/>
  <c r="B140" i="3" s="1"/>
  <c r="AC139" i="3"/>
  <c r="Z139" i="3"/>
  <c r="AA139" i="3"/>
  <c r="AD139" i="3"/>
  <c r="D37" i="3"/>
  <c r="G37" i="3" s="1"/>
  <c r="K37" i="3"/>
  <c r="T139" i="3" l="1"/>
  <c r="P140" i="3"/>
  <c r="Q140" i="3" s="1"/>
  <c r="R140" i="3" s="1"/>
  <c r="S140" i="3" s="1"/>
  <c r="A141" i="3"/>
  <c r="B141" i="3" s="1"/>
  <c r="AA140" i="3"/>
  <c r="AC140" i="3"/>
  <c r="Z140" i="3"/>
  <c r="AD140" i="3"/>
  <c r="F37" i="3"/>
  <c r="I37" i="3"/>
  <c r="J37" i="3"/>
  <c r="M37" i="3"/>
  <c r="N37" i="3" s="1"/>
  <c r="V37" i="3"/>
  <c r="AE37" i="3"/>
  <c r="T140" i="3" l="1"/>
  <c r="P141" i="3"/>
  <c r="Q141" i="3" s="1"/>
  <c r="R141" i="3" s="1"/>
  <c r="S141" i="3" s="1"/>
  <c r="AC141" i="3"/>
  <c r="AD141" i="3"/>
  <c r="AA141" i="3"/>
  <c r="A142" i="3"/>
  <c r="B142" i="3" s="1"/>
  <c r="Z141" i="3"/>
  <c r="W37" i="3"/>
  <c r="L37" i="3"/>
  <c r="T141" i="3" l="1"/>
  <c r="AD142" i="3"/>
  <c r="AA142" i="3"/>
  <c r="AC142" i="3"/>
  <c r="Z142" i="3"/>
  <c r="A143" i="3"/>
  <c r="B143" i="3" s="1"/>
  <c r="P142" i="3"/>
  <c r="Q142" i="3" s="1"/>
  <c r="R142" i="3" s="1"/>
  <c r="S142" i="3" s="1"/>
  <c r="AH38" i="3"/>
  <c r="AG38" i="3"/>
  <c r="U37" i="3"/>
  <c r="D38" i="3" s="1"/>
  <c r="Y36" i="3"/>
  <c r="T142" i="3" l="1"/>
  <c r="AC143" i="3"/>
  <c r="A144" i="3"/>
  <c r="B144" i="3" s="1"/>
  <c r="Z143" i="3"/>
  <c r="AA143" i="3"/>
  <c r="AD143" i="3"/>
  <c r="P143" i="3"/>
  <c r="Q143" i="3" s="1"/>
  <c r="R143" i="3" s="1"/>
  <c r="S143" i="3" s="1"/>
  <c r="G38" i="3"/>
  <c r="E38" i="3"/>
  <c r="H38" i="3" s="1"/>
  <c r="T143" i="3" l="1"/>
  <c r="AC144" i="3"/>
  <c r="P144" i="3"/>
  <c r="Q144" i="3" s="1"/>
  <c r="R144" i="3" s="1"/>
  <c r="S144" i="3" s="1"/>
  <c r="A145" i="3"/>
  <c r="B145" i="3" s="1"/>
  <c r="Z144" i="3"/>
  <c r="AA144" i="3"/>
  <c r="AD144" i="3"/>
  <c r="K38" i="3"/>
  <c r="F38" i="3"/>
  <c r="I38" i="3"/>
  <c r="J38" i="3"/>
  <c r="M38" i="3"/>
  <c r="N38" i="3" s="1"/>
  <c r="T144" i="3" l="1"/>
  <c r="Z145" i="3"/>
  <c r="AC145" i="3"/>
  <c r="A146" i="3"/>
  <c r="B146" i="3" s="1"/>
  <c r="AA145" i="3"/>
  <c r="AD145" i="3"/>
  <c r="P145" i="3"/>
  <c r="Q145" i="3" s="1"/>
  <c r="R145" i="3" s="1"/>
  <c r="S145" i="3" s="1"/>
  <c r="L38" i="3"/>
  <c r="V38" i="3"/>
  <c r="W38" i="3" s="1"/>
  <c r="AE38" i="3"/>
  <c r="T145" i="3" l="1"/>
  <c r="Z146" i="3"/>
  <c r="AA146" i="3"/>
  <c r="P146" i="3"/>
  <c r="Q146" i="3" s="1"/>
  <c r="R146" i="3" s="1"/>
  <c r="S146" i="3" s="1"/>
  <c r="AD146" i="3"/>
  <c r="A147" i="3"/>
  <c r="B147" i="3" s="1"/>
  <c r="AC146" i="3"/>
  <c r="U38" i="3"/>
  <c r="D39" i="3" s="1"/>
  <c r="AG39" i="3"/>
  <c r="AH39" i="3"/>
  <c r="Y37" i="3"/>
  <c r="T146" i="3" l="1"/>
  <c r="AC147" i="3"/>
  <c r="AD147" i="3"/>
  <c r="P147" i="3"/>
  <c r="Q147" i="3" s="1"/>
  <c r="R147" i="3" s="1"/>
  <c r="S147" i="3" s="1"/>
  <c r="A148" i="3"/>
  <c r="B148" i="3" s="1"/>
  <c r="AA147" i="3"/>
  <c r="Z147" i="3"/>
  <c r="G39" i="3"/>
  <c r="E39" i="3"/>
  <c r="H39" i="3" s="1"/>
  <c r="T147" i="3" l="1"/>
  <c r="P148" i="3"/>
  <c r="Q148" i="3" s="1"/>
  <c r="R148" i="3" s="1"/>
  <c r="S148" i="3" s="1"/>
  <c r="AA148" i="3"/>
  <c r="Z148" i="3"/>
  <c r="AD148" i="3"/>
  <c r="AC148" i="3"/>
  <c r="A149" i="3"/>
  <c r="B149" i="3" s="1"/>
  <c r="F39" i="3"/>
  <c r="K39" i="3"/>
  <c r="I39" i="3"/>
  <c r="J39" i="3"/>
  <c r="M39" i="3"/>
  <c r="N39" i="3" s="1"/>
  <c r="T148" i="3" l="1"/>
  <c r="AC149" i="3"/>
  <c r="AA149" i="3"/>
  <c r="AD149" i="3"/>
  <c r="Z149" i="3"/>
  <c r="A150" i="3"/>
  <c r="B150" i="3" s="1"/>
  <c r="P149" i="3"/>
  <c r="Q149" i="3" s="1"/>
  <c r="R149" i="3" s="1"/>
  <c r="S149" i="3" s="1"/>
  <c r="L39" i="3"/>
  <c r="V39" i="3"/>
  <c r="W39" i="3" s="1"/>
  <c r="AE39" i="3"/>
  <c r="T149" i="3" l="1"/>
  <c r="P150" i="3"/>
  <c r="Q150" i="3" s="1"/>
  <c r="R150" i="3" s="1"/>
  <c r="S150" i="3" s="1"/>
  <c r="AD150" i="3"/>
  <c r="A151" i="3"/>
  <c r="B151" i="3" s="1"/>
  <c r="AA150" i="3"/>
  <c r="AC150" i="3"/>
  <c r="Z150" i="3"/>
  <c r="U39" i="3"/>
  <c r="E40" i="3" s="1"/>
  <c r="H40" i="3" s="1"/>
  <c r="AH40" i="3"/>
  <c r="AG40" i="3"/>
  <c r="Y38" i="3"/>
  <c r="T150" i="3" l="1"/>
  <c r="AD151" i="3"/>
  <c r="A152" i="3"/>
  <c r="B152" i="3" s="1"/>
  <c r="P151" i="3"/>
  <c r="Q151" i="3" s="1"/>
  <c r="R151" i="3" s="1"/>
  <c r="S151" i="3" s="1"/>
  <c r="Z151" i="3"/>
  <c r="AA151" i="3"/>
  <c r="AC151" i="3"/>
  <c r="D40" i="3"/>
  <c r="F40" i="3" s="1"/>
  <c r="K40" i="3"/>
  <c r="T151" i="3" l="1"/>
  <c r="P152" i="3"/>
  <c r="Q152" i="3" s="1"/>
  <c r="R152" i="3" s="1"/>
  <c r="S152" i="3" s="1"/>
  <c r="A153" i="3"/>
  <c r="B153" i="3" s="1"/>
  <c r="AC152" i="3"/>
  <c r="AA152" i="3"/>
  <c r="Z152" i="3"/>
  <c r="AD152" i="3"/>
  <c r="G40" i="3"/>
  <c r="M40" i="3" s="1"/>
  <c r="N40" i="3" s="1"/>
  <c r="V40" i="3"/>
  <c r="AE40" i="3"/>
  <c r="T152" i="3" l="1"/>
  <c r="P153" i="3"/>
  <c r="Q153" i="3" s="1"/>
  <c r="R153" i="3" s="1"/>
  <c r="S153" i="3" s="1"/>
  <c r="AA153" i="3"/>
  <c r="A154" i="3"/>
  <c r="B154" i="3" s="1"/>
  <c r="Z153" i="3"/>
  <c r="AC153" i="3"/>
  <c r="AD153" i="3"/>
  <c r="I40" i="3"/>
  <c r="W40" i="3" s="1"/>
  <c r="J40" i="3"/>
  <c r="L40" i="3" s="1"/>
  <c r="T153" i="3" l="1"/>
  <c r="AD154" i="3"/>
  <c r="AC154" i="3"/>
  <c r="P154" i="3"/>
  <c r="Q154" i="3" s="1"/>
  <c r="R154" i="3" s="1"/>
  <c r="S154" i="3" s="1"/>
  <c r="A155" i="3"/>
  <c r="B155" i="3" s="1"/>
  <c r="Z154" i="3"/>
  <c r="AA154" i="3"/>
  <c r="U40" i="3"/>
  <c r="D41" i="3" s="1"/>
  <c r="AG41" i="3"/>
  <c r="AH41" i="3"/>
  <c r="Y39" i="3"/>
  <c r="T154" i="3" l="1"/>
  <c r="Z155" i="3"/>
  <c r="A156" i="3"/>
  <c r="B156" i="3" s="1"/>
  <c r="AD155" i="3"/>
  <c r="P155" i="3"/>
  <c r="Q155" i="3" s="1"/>
  <c r="R155" i="3" s="1"/>
  <c r="S155" i="3" s="1"/>
  <c r="AA155" i="3"/>
  <c r="AC155" i="3"/>
  <c r="G41" i="3"/>
  <c r="E41" i="3"/>
  <c r="H41" i="3" s="1"/>
  <c r="T155" i="3" l="1"/>
  <c r="AD156" i="3"/>
  <c r="Z156" i="3"/>
  <c r="AC156" i="3"/>
  <c r="P156" i="3"/>
  <c r="Q156" i="3" s="1"/>
  <c r="R156" i="3" s="1"/>
  <c r="S156" i="3" s="1"/>
  <c r="AA156" i="3"/>
  <c r="A157" i="3"/>
  <c r="B157" i="3" s="1"/>
  <c r="F41" i="3"/>
  <c r="I41" i="3"/>
  <c r="J41" i="3"/>
  <c r="M41" i="3"/>
  <c r="N41" i="3" s="1"/>
  <c r="K41" i="3"/>
  <c r="T156" i="3" l="1"/>
  <c r="AA157" i="3"/>
  <c r="P157" i="3"/>
  <c r="Q157" i="3" s="1"/>
  <c r="R157" i="3" s="1"/>
  <c r="S157" i="3" s="1"/>
  <c r="AC157" i="3"/>
  <c r="AD157" i="3"/>
  <c r="A158" i="3"/>
  <c r="B158" i="3" s="1"/>
  <c r="Z157" i="3"/>
  <c r="V41" i="3"/>
  <c r="W41" i="3" s="1"/>
  <c r="AE41" i="3"/>
  <c r="L41" i="3"/>
  <c r="T157" i="3" l="1"/>
  <c r="AD158" i="3"/>
  <c r="AA158" i="3"/>
  <c r="Z158" i="3"/>
  <c r="P158" i="3"/>
  <c r="Q158" i="3" s="1"/>
  <c r="R158" i="3" s="1"/>
  <c r="S158" i="3" s="1"/>
  <c r="A159" i="3"/>
  <c r="B159" i="3" s="1"/>
  <c r="AC158" i="3"/>
  <c r="U41" i="3"/>
  <c r="E42" i="3" s="1"/>
  <c r="H42" i="3" s="1"/>
  <c r="AG42" i="3"/>
  <c r="AH42" i="3"/>
  <c r="Y40" i="3"/>
  <c r="T158" i="3" l="1"/>
  <c r="AA159" i="3"/>
  <c r="A160" i="3"/>
  <c r="B160" i="3" s="1"/>
  <c r="AC159" i="3"/>
  <c r="AD159" i="3"/>
  <c r="Z159" i="3"/>
  <c r="P159" i="3"/>
  <c r="Q159" i="3" s="1"/>
  <c r="R159" i="3" s="1"/>
  <c r="S159" i="3" s="1"/>
  <c r="D42" i="3"/>
  <c r="G42" i="3" s="1"/>
  <c r="K42" i="3"/>
  <c r="T159" i="3" l="1"/>
  <c r="AC160" i="3"/>
  <c r="AA160" i="3"/>
  <c r="AD160" i="3"/>
  <c r="A161" i="3"/>
  <c r="B161" i="3" s="1"/>
  <c r="P160" i="3"/>
  <c r="Q160" i="3" s="1"/>
  <c r="R160" i="3" s="1"/>
  <c r="S160" i="3" s="1"/>
  <c r="Z160" i="3"/>
  <c r="F42" i="3"/>
  <c r="V42" i="3"/>
  <c r="AE42" i="3"/>
  <c r="I42" i="3"/>
  <c r="J42" i="3"/>
  <c r="M42" i="3"/>
  <c r="N42" i="3" s="1"/>
  <c r="T160" i="3" l="1"/>
  <c r="AA161" i="3"/>
  <c r="P161" i="3"/>
  <c r="Q161" i="3" s="1"/>
  <c r="R161" i="3" s="1"/>
  <c r="S161" i="3" s="1"/>
  <c r="AD161" i="3"/>
  <c r="Z161" i="3"/>
  <c r="A162" i="3"/>
  <c r="B162" i="3" s="1"/>
  <c r="AC161" i="3"/>
  <c r="W42" i="3"/>
  <c r="L42" i="3"/>
  <c r="T161" i="3" l="1"/>
  <c r="Z162" i="3"/>
  <c r="AA162" i="3"/>
  <c r="AC162" i="3"/>
  <c r="A163" i="3"/>
  <c r="B163" i="3" s="1"/>
  <c r="P162" i="3"/>
  <c r="Q162" i="3" s="1"/>
  <c r="R162" i="3" s="1"/>
  <c r="S162" i="3" s="1"/>
  <c r="AD162" i="3"/>
  <c r="AG43" i="3"/>
  <c r="AH43" i="3"/>
  <c r="U42" i="3"/>
  <c r="E43" i="3" s="1"/>
  <c r="H43" i="3" s="1"/>
  <c r="Y41" i="3"/>
  <c r="T162" i="3" l="1"/>
  <c r="P163" i="3"/>
  <c r="Q163" i="3" s="1"/>
  <c r="R163" i="3" s="1"/>
  <c r="S163" i="3" s="1"/>
  <c r="AA163" i="3"/>
  <c r="A164" i="3"/>
  <c r="B164" i="3" s="1"/>
  <c r="AC163" i="3"/>
  <c r="Z163" i="3"/>
  <c r="AD163" i="3"/>
  <c r="K43" i="3"/>
  <c r="D43" i="3"/>
  <c r="T163" i="3" l="1"/>
  <c r="AD164" i="3"/>
  <c r="AC164" i="3"/>
  <c r="P164" i="3"/>
  <c r="Q164" i="3" s="1"/>
  <c r="R164" i="3" s="1"/>
  <c r="S164" i="3" s="1"/>
  <c r="Z164" i="3"/>
  <c r="AA164" i="3"/>
  <c r="A165" i="3"/>
  <c r="B165" i="3" s="1"/>
  <c r="V43" i="3"/>
  <c r="AE43" i="3"/>
  <c r="F43" i="3"/>
  <c r="G43" i="3"/>
  <c r="T164" i="3" l="1"/>
  <c r="AD165" i="3"/>
  <c r="A166" i="3"/>
  <c r="B166" i="3" s="1"/>
  <c r="AA165" i="3"/>
  <c r="AC165" i="3"/>
  <c r="P165" i="3"/>
  <c r="Q165" i="3" s="1"/>
  <c r="R165" i="3" s="1"/>
  <c r="S165" i="3" s="1"/>
  <c r="Z165" i="3"/>
  <c r="I43" i="3"/>
  <c r="W43" i="3" s="1"/>
  <c r="J43" i="3"/>
  <c r="M43" i="3"/>
  <c r="N43" i="3" s="1"/>
  <c r="T165" i="3" l="1"/>
  <c r="AA166" i="3"/>
  <c r="AD166" i="3"/>
  <c r="Z166" i="3"/>
  <c r="A167" i="3"/>
  <c r="B167" i="3" s="1"/>
  <c r="P166" i="3"/>
  <c r="Q166" i="3" s="1"/>
  <c r="R166" i="3" s="1"/>
  <c r="S166" i="3" s="1"/>
  <c r="AC166" i="3"/>
  <c r="L43" i="3"/>
  <c r="T166" i="3" l="1"/>
  <c r="AA167" i="3"/>
  <c r="Z167" i="3"/>
  <c r="A168" i="3"/>
  <c r="B168" i="3" s="1"/>
  <c r="AD167" i="3"/>
  <c r="P167" i="3"/>
  <c r="Q167" i="3" s="1"/>
  <c r="R167" i="3" s="1"/>
  <c r="S167" i="3" s="1"/>
  <c r="AC167" i="3"/>
  <c r="AG44" i="3"/>
  <c r="AH44" i="3"/>
  <c r="U43" i="3"/>
  <c r="E44" i="3" s="1"/>
  <c r="H44" i="3" s="1"/>
  <c r="Y42" i="3"/>
  <c r="T167" i="3" l="1"/>
  <c r="P168" i="3"/>
  <c r="Q168" i="3" s="1"/>
  <c r="R168" i="3" s="1"/>
  <c r="S168" i="3" s="1"/>
  <c r="AD168" i="3"/>
  <c r="AA168" i="3"/>
  <c r="A169" i="3"/>
  <c r="B169" i="3" s="1"/>
  <c r="Z168" i="3"/>
  <c r="AC168" i="3"/>
  <c r="D44" i="3"/>
  <c r="F44" i="3" s="1"/>
  <c r="K44" i="3"/>
  <c r="T168" i="3" l="1"/>
  <c r="Z169" i="3"/>
  <c r="P169" i="3"/>
  <c r="Q169" i="3" s="1"/>
  <c r="R169" i="3" s="1"/>
  <c r="S169" i="3" s="1"/>
  <c r="AD169" i="3"/>
  <c r="A170" i="3"/>
  <c r="B170" i="3" s="1"/>
  <c r="AA169" i="3"/>
  <c r="AC169" i="3"/>
  <c r="G44" i="3"/>
  <c r="J44" i="3" s="1"/>
  <c r="V44" i="3"/>
  <c r="AE44" i="3"/>
  <c r="T169" i="3" l="1"/>
  <c r="AC170" i="3"/>
  <c r="AD170" i="3"/>
  <c r="P170" i="3"/>
  <c r="Q170" i="3" s="1"/>
  <c r="R170" i="3" s="1"/>
  <c r="S170" i="3" s="1"/>
  <c r="AA170" i="3"/>
  <c r="A171" i="3"/>
  <c r="B171" i="3" s="1"/>
  <c r="Z170" i="3"/>
  <c r="M44" i="3"/>
  <c r="N44" i="3" s="1"/>
  <c r="I44" i="3"/>
  <c r="W44" i="3" s="1"/>
  <c r="L44" i="3"/>
  <c r="T170" i="3" l="1"/>
  <c r="AC171" i="3"/>
  <c r="AD171" i="3"/>
  <c r="Z171" i="3"/>
  <c r="A172" i="3"/>
  <c r="B172" i="3" s="1"/>
  <c r="P171" i="3"/>
  <c r="Q171" i="3" s="1"/>
  <c r="R171" i="3" s="1"/>
  <c r="S171" i="3" s="1"/>
  <c r="AA171" i="3"/>
  <c r="U44" i="3"/>
  <c r="E45" i="3" s="1"/>
  <c r="H45" i="3" s="1"/>
  <c r="AH45" i="3"/>
  <c r="AG45" i="3"/>
  <c r="Y43" i="3"/>
  <c r="T171" i="3" l="1"/>
  <c r="A173" i="3"/>
  <c r="B173" i="3" s="1"/>
  <c r="AD172" i="3"/>
  <c r="AC172" i="3"/>
  <c r="AA172" i="3"/>
  <c r="P172" i="3"/>
  <c r="Q172" i="3" s="1"/>
  <c r="R172" i="3" s="1"/>
  <c r="S172" i="3" s="1"/>
  <c r="Z172" i="3"/>
  <c r="D45" i="3"/>
  <c r="G45" i="3" s="1"/>
  <c r="K45" i="3"/>
  <c r="T172" i="3" l="1"/>
  <c r="AD173" i="3"/>
  <c r="A174" i="3"/>
  <c r="B174" i="3" s="1"/>
  <c r="Z173" i="3"/>
  <c r="AC173" i="3"/>
  <c r="P173" i="3"/>
  <c r="Q173" i="3" s="1"/>
  <c r="R173" i="3" s="1"/>
  <c r="S173" i="3" s="1"/>
  <c r="AA173" i="3"/>
  <c r="F45" i="3"/>
  <c r="I45" i="3"/>
  <c r="J45" i="3"/>
  <c r="M45" i="3"/>
  <c r="N45" i="3" s="1"/>
  <c r="V45" i="3"/>
  <c r="AE45" i="3"/>
  <c r="T173" i="3" l="1"/>
  <c r="A175" i="3"/>
  <c r="B175" i="3" s="1"/>
  <c r="AA174" i="3"/>
  <c r="Z174" i="3"/>
  <c r="P174" i="3"/>
  <c r="Q174" i="3" s="1"/>
  <c r="R174" i="3" s="1"/>
  <c r="S174" i="3" s="1"/>
  <c r="AC174" i="3"/>
  <c r="AD174" i="3"/>
  <c r="L45" i="3"/>
  <c r="W45" i="3"/>
  <c r="T174" i="3" l="1"/>
  <c r="A176" i="3"/>
  <c r="B176" i="3" s="1"/>
  <c r="AC175" i="3"/>
  <c r="AD175" i="3"/>
  <c r="Z175" i="3"/>
  <c r="P175" i="3"/>
  <c r="Q175" i="3" s="1"/>
  <c r="R175" i="3" s="1"/>
  <c r="S175" i="3" s="1"/>
  <c r="AA175" i="3"/>
  <c r="U45" i="3"/>
  <c r="D46" i="3" s="1"/>
  <c r="AG46" i="3"/>
  <c r="AH46" i="3"/>
  <c r="Y44" i="3"/>
  <c r="T175" i="3" l="1"/>
  <c r="AD176" i="3"/>
  <c r="Z176" i="3"/>
  <c r="P176" i="3"/>
  <c r="Q176" i="3" s="1"/>
  <c r="R176" i="3" s="1"/>
  <c r="S176" i="3" s="1"/>
  <c r="AC176" i="3"/>
  <c r="AA176" i="3"/>
  <c r="A177" i="3"/>
  <c r="B177" i="3" s="1"/>
  <c r="E46" i="3"/>
  <c r="H46" i="3" s="1"/>
  <c r="K46" i="3" s="1"/>
  <c r="G46" i="3"/>
  <c r="T176" i="3" l="1"/>
  <c r="P177" i="3"/>
  <c r="Q177" i="3" s="1"/>
  <c r="R177" i="3" s="1"/>
  <c r="S177" i="3" s="1"/>
  <c r="AC177" i="3"/>
  <c r="AA177" i="3"/>
  <c r="AD177" i="3"/>
  <c r="Z177" i="3"/>
  <c r="A178" i="3"/>
  <c r="B178" i="3" s="1"/>
  <c r="F46" i="3"/>
  <c r="I46" i="3"/>
  <c r="J46" i="3"/>
  <c r="M46" i="3"/>
  <c r="N46" i="3" s="1"/>
  <c r="V46" i="3"/>
  <c r="AE46" i="3"/>
  <c r="T177" i="3" l="1"/>
  <c r="A179" i="3"/>
  <c r="B179" i="3" s="1"/>
  <c r="Z178" i="3"/>
  <c r="AC178" i="3"/>
  <c r="P178" i="3"/>
  <c r="Q178" i="3" s="1"/>
  <c r="R178" i="3" s="1"/>
  <c r="S178" i="3" s="1"/>
  <c r="AD178" i="3"/>
  <c r="AA178" i="3"/>
  <c r="W46" i="3"/>
  <c r="L46" i="3"/>
  <c r="T178" i="3" l="1"/>
  <c r="Z179" i="3"/>
  <c r="AA179" i="3"/>
  <c r="AC179" i="3"/>
  <c r="A180" i="3"/>
  <c r="B180" i="3" s="1"/>
  <c r="P179" i="3"/>
  <c r="Q179" i="3" s="1"/>
  <c r="R179" i="3" s="1"/>
  <c r="S179" i="3" s="1"/>
  <c r="AD179" i="3"/>
  <c r="AG47" i="3"/>
  <c r="U46" i="3"/>
  <c r="D47" i="3" s="1"/>
  <c r="AH47" i="3"/>
  <c r="Y45" i="3"/>
  <c r="T179" i="3" l="1"/>
  <c r="A181" i="3"/>
  <c r="B181" i="3" s="1"/>
  <c r="AD180" i="3"/>
  <c r="Z180" i="3"/>
  <c r="AC180" i="3"/>
  <c r="AA180" i="3"/>
  <c r="P180" i="3"/>
  <c r="Q180" i="3" s="1"/>
  <c r="R180" i="3" s="1"/>
  <c r="S180" i="3" s="1"/>
  <c r="E47" i="3"/>
  <c r="H47" i="3" s="1"/>
  <c r="K47" i="3" s="1"/>
  <c r="G47" i="3"/>
  <c r="T180" i="3" l="1"/>
  <c r="AA181" i="3"/>
  <c r="A182" i="3"/>
  <c r="B182" i="3" s="1"/>
  <c r="AD181" i="3"/>
  <c r="Z181" i="3"/>
  <c r="P181" i="3"/>
  <c r="Q181" i="3" s="1"/>
  <c r="R181" i="3" s="1"/>
  <c r="S181" i="3" s="1"/>
  <c r="AC181" i="3"/>
  <c r="F47" i="3"/>
  <c r="I47" i="3"/>
  <c r="J47" i="3"/>
  <c r="M47" i="3"/>
  <c r="N47" i="3" s="1"/>
  <c r="V47" i="3"/>
  <c r="AE47" i="3"/>
  <c r="T181" i="3" l="1"/>
  <c r="A183" i="3"/>
  <c r="B183" i="3" s="1"/>
  <c r="Z182" i="3"/>
  <c r="P182" i="3"/>
  <c r="Q182" i="3" s="1"/>
  <c r="R182" i="3" s="1"/>
  <c r="S182" i="3" s="1"/>
  <c r="AC182" i="3"/>
  <c r="AA182" i="3"/>
  <c r="AD182" i="3"/>
  <c r="W47" i="3"/>
  <c r="L47" i="3"/>
  <c r="T182" i="3" l="1"/>
  <c r="AD183" i="3"/>
  <c r="AA183" i="3"/>
  <c r="P183" i="3"/>
  <c r="Q183" i="3" s="1"/>
  <c r="R183" i="3" s="1"/>
  <c r="S183" i="3" s="1"/>
  <c r="A184" i="3"/>
  <c r="B184" i="3" s="1"/>
  <c r="Z183" i="3"/>
  <c r="AC183" i="3"/>
  <c r="AG48" i="3"/>
  <c r="U47" i="3"/>
  <c r="E48" i="3" s="1"/>
  <c r="H48" i="3" s="1"/>
  <c r="AH48" i="3"/>
  <c r="Y46" i="3"/>
  <c r="T183" i="3" l="1"/>
  <c r="AD184" i="3"/>
  <c r="A185" i="3"/>
  <c r="B185" i="3" s="1"/>
  <c r="Z184" i="3"/>
  <c r="AC184" i="3"/>
  <c r="P184" i="3"/>
  <c r="Q184" i="3" s="1"/>
  <c r="R184" i="3" s="1"/>
  <c r="S184" i="3" s="1"/>
  <c r="AA184" i="3"/>
  <c r="K48" i="3"/>
  <c r="D48" i="3"/>
  <c r="T184" i="3" l="1"/>
  <c r="A186" i="3"/>
  <c r="B186" i="3" s="1"/>
  <c r="P185" i="3"/>
  <c r="Q185" i="3" s="1"/>
  <c r="R185" i="3" s="1"/>
  <c r="S185" i="3" s="1"/>
  <c r="AC185" i="3"/>
  <c r="AD185" i="3"/>
  <c r="AA185" i="3"/>
  <c r="Z185" i="3"/>
  <c r="V48" i="3"/>
  <c r="AE48" i="3"/>
  <c r="F48" i="3"/>
  <c r="G48" i="3"/>
  <c r="T185" i="3" l="1"/>
  <c r="Z186" i="3"/>
  <c r="P186" i="3"/>
  <c r="Q186" i="3" s="1"/>
  <c r="R186" i="3" s="1"/>
  <c r="S186" i="3" s="1"/>
  <c r="AC186" i="3"/>
  <c r="AD186" i="3"/>
  <c r="AA186" i="3"/>
  <c r="A187" i="3"/>
  <c r="B187" i="3" s="1"/>
  <c r="I48" i="3"/>
  <c r="W48" i="3" s="1"/>
  <c r="J48" i="3"/>
  <c r="M48" i="3"/>
  <c r="N48" i="3" s="1"/>
  <c r="T186" i="3" l="1"/>
  <c r="AA187" i="3"/>
  <c r="AD187" i="3"/>
  <c r="AC187" i="3"/>
  <c r="A188" i="3"/>
  <c r="B188" i="3" s="1"/>
  <c r="Z187" i="3"/>
  <c r="P187" i="3"/>
  <c r="Q187" i="3" s="1"/>
  <c r="R187" i="3" s="1"/>
  <c r="S187" i="3" s="1"/>
  <c r="L48" i="3"/>
  <c r="T187" i="3" l="1"/>
  <c r="AD188" i="3"/>
  <c r="AA188" i="3"/>
  <c r="Z188" i="3"/>
  <c r="P188" i="3"/>
  <c r="Q188" i="3" s="1"/>
  <c r="R188" i="3" s="1"/>
  <c r="S188" i="3" s="1"/>
  <c r="A189" i="3"/>
  <c r="B189" i="3" s="1"/>
  <c r="AC188" i="3"/>
  <c r="AH49" i="3"/>
  <c r="U48" i="3"/>
  <c r="E49" i="3" s="1"/>
  <c r="H49" i="3" s="1"/>
  <c r="AG49" i="3"/>
  <c r="Y47" i="3"/>
  <c r="T188" i="3" l="1"/>
  <c r="P189" i="3"/>
  <c r="Q189" i="3" s="1"/>
  <c r="R189" i="3" s="1"/>
  <c r="S189" i="3" s="1"/>
  <c r="A190" i="3"/>
  <c r="B190" i="3" s="1"/>
  <c r="AA189" i="3"/>
  <c r="AC189" i="3"/>
  <c r="Z189" i="3"/>
  <c r="AD189" i="3"/>
  <c r="D49" i="3"/>
  <c r="G49" i="3" s="1"/>
  <c r="K49" i="3"/>
  <c r="T189" i="3" l="1"/>
  <c r="AA190" i="3"/>
  <c r="A191" i="3"/>
  <c r="B191" i="3" s="1"/>
  <c r="AD190" i="3"/>
  <c r="P190" i="3"/>
  <c r="Q190" i="3" s="1"/>
  <c r="R190" i="3" s="1"/>
  <c r="S190" i="3" s="1"/>
  <c r="Z190" i="3"/>
  <c r="AC190" i="3"/>
  <c r="F49" i="3"/>
  <c r="V49" i="3"/>
  <c r="AE49" i="3"/>
  <c r="I49" i="3"/>
  <c r="J49" i="3"/>
  <c r="M49" i="3"/>
  <c r="N49" i="3" s="1"/>
  <c r="T190" i="3" l="1"/>
  <c r="P191" i="3"/>
  <c r="Q191" i="3" s="1"/>
  <c r="R191" i="3" s="1"/>
  <c r="S191" i="3" s="1"/>
  <c r="AA191" i="3"/>
  <c r="AC191" i="3"/>
  <c r="Z191" i="3"/>
  <c r="AD191" i="3"/>
  <c r="A192" i="3"/>
  <c r="B192" i="3" s="1"/>
  <c r="W49" i="3"/>
  <c r="L49" i="3"/>
  <c r="T191" i="3" l="1"/>
  <c r="Z192" i="3"/>
  <c r="AD192" i="3"/>
  <c r="AC192" i="3"/>
  <c r="P192" i="3"/>
  <c r="Q192" i="3" s="1"/>
  <c r="R192" i="3" s="1"/>
  <c r="S192" i="3" s="1"/>
  <c r="A193" i="3"/>
  <c r="B193" i="3" s="1"/>
  <c r="AA192" i="3"/>
  <c r="AG50" i="3"/>
  <c r="AH50" i="3"/>
  <c r="U49" i="3"/>
  <c r="D50" i="3" s="1"/>
  <c r="Y48" i="3"/>
  <c r="T192" i="3" l="1"/>
  <c r="AA193" i="3"/>
  <c r="A194" i="3"/>
  <c r="B194" i="3" s="1"/>
  <c r="Z193" i="3"/>
  <c r="P193" i="3"/>
  <c r="Q193" i="3" s="1"/>
  <c r="R193" i="3" s="1"/>
  <c r="S193" i="3" s="1"/>
  <c r="AD193" i="3"/>
  <c r="AC193" i="3"/>
  <c r="E50" i="3"/>
  <c r="H50" i="3" s="1"/>
  <c r="K50" i="3" s="1"/>
  <c r="G50" i="3"/>
  <c r="T193" i="3" l="1"/>
  <c r="AD194" i="3"/>
  <c r="AC194" i="3"/>
  <c r="P194" i="3"/>
  <c r="Q194" i="3" s="1"/>
  <c r="R194" i="3" s="1"/>
  <c r="S194" i="3" s="1"/>
  <c r="A195" i="3"/>
  <c r="B195" i="3" s="1"/>
  <c r="Z194" i="3"/>
  <c r="AA194" i="3"/>
  <c r="F50" i="3"/>
  <c r="I50" i="3"/>
  <c r="J50" i="3"/>
  <c r="M50" i="3"/>
  <c r="N50" i="3" s="1"/>
  <c r="V50" i="3"/>
  <c r="AE50" i="3"/>
  <c r="T194" i="3" l="1"/>
  <c r="AC195" i="3"/>
  <c r="AD195" i="3"/>
  <c r="Z195" i="3"/>
  <c r="A196" i="3"/>
  <c r="B196" i="3" s="1"/>
  <c r="P195" i="3"/>
  <c r="Q195" i="3" s="1"/>
  <c r="R195" i="3" s="1"/>
  <c r="S195" i="3" s="1"/>
  <c r="AA195" i="3"/>
  <c r="L50" i="3"/>
  <c r="W50" i="3"/>
  <c r="T195" i="3" l="1"/>
  <c r="P196" i="3"/>
  <c r="Q196" i="3" s="1"/>
  <c r="R196" i="3" s="1"/>
  <c r="S196" i="3" s="1"/>
  <c r="AC196" i="3"/>
  <c r="Z196" i="3"/>
  <c r="AD196" i="3"/>
  <c r="A197" i="3"/>
  <c r="B197" i="3" s="1"/>
  <c r="AA196" i="3"/>
  <c r="U50" i="3"/>
  <c r="D51" i="3" s="1"/>
  <c r="AH51" i="3"/>
  <c r="AG51" i="3"/>
  <c r="Y49" i="3"/>
  <c r="T196" i="3" l="1"/>
  <c r="AC197" i="3"/>
  <c r="AA197" i="3"/>
  <c r="AD197" i="3"/>
  <c r="Z197" i="3"/>
  <c r="A198" i="3"/>
  <c r="B198" i="3" s="1"/>
  <c r="P197" i="3"/>
  <c r="Q197" i="3" s="1"/>
  <c r="R197" i="3" s="1"/>
  <c r="S197" i="3" s="1"/>
  <c r="E51" i="3"/>
  <c r="H51" i="3" s="1"/>
  <c r="K51" i="3" s="1"/>
  <c r="G51" i="3"/>
  <c r="T197" i="3" l="1"/>
  <c r="P198" i="3"/>
  <c r="Q198" i="3" s="1"/>
  <c r="R198" i="3" s="1"/>
  <c r="S198" i="3" s="1"/>
  <c r="AA198" i="3"/>
  <c r="Z198" i="3"/>
  <c r="AC198" i="3"/>
  <c r="A199" i="3"/>
  <c r="B199" i="3" s="1"/>
  <c r="AD198" i="3"/>
  <c r="F51" i="3"/>
  <c r="V51" i="3"/>
  <c r="AE51" i="3"/>
  <c r="I51" i="3"/>
  <c r="J51" i="3"/>
  <c r="M51" i="3"/>
  <c r="N51" i="3" s="1"/>
  <c r="T198" i="3" l="1"/>
  <c r="AD199" i="3"/>
  <c r="AC199" i="3"/>
  <c r="Z199" i="3"/>
  <c r="P199" i="3"/>
  <c r="Q199" i="3" s="1"/>
  <c r="R199" i="3" s="1"/>
  <c r="S199" i="3" s="1"/>
  <c r="AA199" i="3"/>
  <c r="A200" i="3"/>
  <c r="B200" i="3" s="1"/>
  <c r="W51" i="3"/>
  <c r="L51" i="3"/>
  <c r="T199" i="3" l="1"/>
  <c r="A201" i="3"/>
  <c r="B201" i="3" s="1"/>
  <c r="AC200" i="3"/>
  <c r="P200" i="3"/>
  <c r="Q200" i="3" s="1"/>
  <c r="R200" i="3" s="1"/>
  <c r="S200" i="3" s="1"/>
  <c r="AA200" i="3"/>
  <c r="Z200" i="3"/>
  <c r="AD200" i="3"/>
  <c r="AH52" i="3"/>
  <c r="AG52" i="3"/>
  <c r="U51" i="3"/>
  <c r="E52" i="3" s="1"/>
  <c r="H52" i="3" s="1"/>
  <c r="Y50" i="3"/>
  <c r="T200" i="3" l="1"/>
  <c r="A202" i="3"/>
  <c r="B202" i="3" s="1"/>
  <c r="Z201" i="3"/>
  <c r="P201" i="3"/>
  <c r="Q201" i="3" s="1"/>
  <c r="R201" i="3" s="1"/>
  <c r="S201" i="3" s="1"/>
  <c r="AA201" i="3"/>
  <c r="AD201" i="3"/>
  <c r="AC201" i="3"/>
  <c r="D52" i="3"/>
  <c r="G52" i="3" s="1"/>
  <c r="K52" i="3"/>
  <c r="T201" i="3" l="1"/>
  <c r="P202" i="3"/>
  <c r="Q202" i="3" s="1"/>
  <c r="R202" i="3" s="1"/>
  <c r="S202" i="3" s="1"/>
  <c r="Z202" i="3"/>
  <c r="A203" i="3"/>
  <c r="B203" i="3" s="1"/>
  <c r="AD202" i="3"/>
  <c r="AA202" i="3"/>
  <c r="AC202" i="3"/>
  <c r="F52" i="3"/>
  <c r="V52" i="3"/>
  <c r="AE52" i="3"/>
  <c r="I52" i="3"/>
  <c r="J52" i="3"/>
  <c r="M52" i="3"/>
  <c r="N52" i="3" s="1"/>
  <c r="T202" i="3" l="1"/>
  <c r="P203" i="3"/>
  <c r="Q203" i="3" s="1"/>
  <c r="R203" i="3" s="1"/>
  <c r="S203" i="3" s="1"/>
  <c r="A204" i="3"/>
  <c r="B204" i="3" s="1"/>
  <c r="Z203" i="3"/>
  <c r="AC203" i="3"/>
  <c r="AD203" i="3"/>
  <c r="AA203" i="3"/>
  <c r="L52" i="3"/>
  <c r="W52" i="3"/>
  <c r="T203" i="3" l="1"/>
  <c r="P204" i="3"/>
  <c r="Q204" i="3" s="1"/>
  <c r="R204" i="3" s="1"/>
  <c r="S204" i="3" s="1"/>
  <c r="T204" i="3" s="1"/>
  <c r="AA204" i="3"/>
  <c r="AC204" i="3"/>
  <c r="Z204" i="3"/>
  <c r="AH53" i="3"/>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D104" i="3"/>
  <c r="V104" i="3" l="1"/>
  <c r="AE104" i="3"/>
  <c r="F104" i="3"/>
  <c r="G104" i="3"/>
  <c r="I104" i="3" l="1"/>
  <c r="W104" i="3" s="1"/>
  <c r="J104" i="3"/>
  <c r="M104" i="3"/>
  <c r="N104" i="3" s="1"/>
  <c r="L104" i="3" l="1"/>
  <c r="AD104" i="3"/>
  <c r="U104" i="3" l="1"/>
  <c r="E105" i="3" s="1"/>
  <c r="H105" i="3" s="1"/>
  <c r="AG105" i="3"/>
  <c r="AH105" i="3"/>
  <c r="Y103" i="3"/>
  <c r="D105" i="3" l="1"/>
  <c r="G105" i="3" s="1"/>
  <c r="K105" i="3"/>
  <c r="F105" i="3" l="1"/>
  <c r="V105" i="3"/>
  <c r="AE105" i="3"/>
  <c r="I105" i="3"/>
  <c r="J105" i="3"/>
  <c r="M105" i="3"/>
  <c r="N105" i="3" s="1"/>
  <c r="W105" i="3" l="1"/>
  <c r="L105" i="3"/>
  <c r="AH106" i="3" l="1"/>
  <c r="AG106" i="3"/>
  <c r="U105" i="3"/>
  <c r="D106" i="3" s="1"/>
  <c r="Y104" i="3"/>
  <c r="E106" i="3" l="1"/>
  <c r="H106" i="3" s="1"/>
  <c r="K106" i="3" s="1"/>
  <c r="G106" i="3"/>
  <c r="F106" i="3" l="1"/>
  <c r="V106" i="3"/>
  <c r="AE106" i="3"/>
  <c r="I106" i="3"/>
  <c r="J106" i="3"/>
  <c r="M106" i="3"/>
  <c r="N106" i="3" s="1"/>
  <c r="W106" i="3" l="1"/>
  <c r="L106" i="3"/>
  <c r="AG107" i="3" l="1"/>
  <c r="AH107" i="3"/>
  <c r="U106" i="3"/>
  <c r="E107" i="3" s="1"/>
  <c r="H107" i="3" s="1"/>
  <c r="Y105" i="3"/>
  <c r="K107" i="3" l="1"/>
  <c r="D107" i="3"/>
  <c r="V107" i="3" l="1"/>
  <c r="AE107" i="3"/>
  <c r="F107" i="3"/>
  <c r="G107" i="3"/>
  <c r="I107" i="3" l="1"/>
  <c r="W107" i="3" s="1"/>
  <c r="J107" i="3"/>
  <c r="M107" i="3"/>
  <c r="N107" i="3" s="1"/>
  <c r="L107" i="3" l="1"/>
  <c r="AH108" i="3" l="1"/>
  <c r="U107" i="3"/>
  <c r="E108" i="3" s="1"/>
  <c r="H108" i="3" s="1"/>
  <c r="AG108" i="3"/>
  <c r="Y106" i="3"/>
  <c r="D108" i="3" l="1"/>
  <c r="G108" i="3" s="1"/>
  <c r="K108" i="3"/>
  <c r="F108" i="3" l="1"/>
  <c r="I108" i="3"/>
  <c r="J108" i="3"/>
  <c r="M108" i="3"/>
  <c r="N108" i="3" s="1"/>
  <c r="V108" i="3"/>
  <c r="AE108" i="3"/>
  <c r="W108" i="3" l="1"/>
  <c r="L108" i="3"/>
  <c r="AG109" i="3" l="1"/>
  <c r="U108" i="3"/>
  <c r="D109" i="3" s="1"/>
  <c r="AH109" i="3"/>
  <c r="Y107" i="3"/>
  <c r="E109" i="3" l="1"/>
  <c r="H109" i="3" s="1"/>
  <c r="K109" i="3" s="1"/>
  <c r="G109" i="3"/>
  <c r="F109" i="3" l="1"/>
  <c r="V109" i="3"/>
  <c r="AE109" i="3"/>
  <c r="I109" i="3"/>
  <c r="J109" i="3"/>
  <c r="M109" i="3"/>
  <c r="N109" i="3" s="1"/>
  <c r="L109" i="3" l="1"/>
  <c r="W109" i="3"/>
  <c r="AH110" i="3" l="1"/>
  <c r="AG110" i="3"/>
  <c r="U109" i="3"/>
  <c r="D110" i="3" s="1"/>
  <c r="Y108" i="3"/>
  <c r="E110" i="3" l="1"/>
  <c r="H110" i="3" s="1"/>
  <c r="K110" i="3" s="1"/>
  <c r="G110" i="3"/>
  <c r="F110" i="3" l="1"/>
  <c r="I110" i="3"/>
  <c r="J110" i="3"/>
  <c r="M110" i="3"/>
  <c r="N110" i="3" s="1"/>
  <c r="V110" i="3"/>
  <c r="AE110" i="3"/>
  <c r="W110" i="3" l="1"/>
  <c r="L110" i="3"/>
  <c r="AH111" i="3" l="1"/>
  <c r="U110" i="3"/>
  <c r="E111" i="3" s="1"/>
  <c r="H111" i="3" s="1"/>
  <c r="AG111" i="3"/>
  <c r="Y109" i="3"/>
  <c r="D111" i="3" l="1"/>
  <c r="G111" i="3" s="1"/>
  <c r="K111" i="3"/>
  <c r="F111" i="3" l="1"/>
  <c r="I111" i="3"/>
  <c r="J111" i="3"/>
  <c r="M111" i="3"/>
  <c r="N111" i="3" s="1"/>
  <c r="V111" i="3"/>
  <c r="AE111" i="3"/>
  <c r="W111" i="3" l="1"/>
  <c r="L111" i="3"/>
  <c r="AH112" i="3" l="1"/>
  <c r="U111" i="3"/>
  <c r="D112" i="3" s="1"/>
  <c r="AG112" i="3"/>
  <c r="Y110" i="3"/>
  <c r="E112" i="3" l="1"/>
  <c r="H112" i="3" s="1"/>
  <c r="K112" i="3" s="1"/>
  <c r="G112" i="3"/>
  <c r="F112" i="3" l="1"/>
  <c r="V112" i="3"/>
  <c r="AE112" i="3"/>
  <c r="I112" i="3"/>
  <c r="J112" i="3"/>
  <c r="M112" i="3"/>
  <c r="N112" i="3" s="1"/>
  <c r="W112" i="3" l="1"/>
  <c r="L112" i="3"/>
  <c r="AG113" i="3" l="1"/>
  <c r="U112" i="3"/>
  <c r="E113" i="3" s="1"/>
  <c r="H113" i="3" s="1"/>
  <c r="AH113" i="3"/>
  <c r="Y111" i="3"/>
  <c r="D113" i="3" l="1"/>
  <c r="G113" i="3" s="1"/>
  <c r="K113" i="3"/>
  <c r="F113" i="3" l="1"/>
  <c r="V113" i="3"/>
  <c r="AE113" i="3"/>
  <c r="I113" i="3"/>
  <c r="J113" i="3"/>
  <c r="M113" i="3"/>
  <c r="N113" i="3" s="1"/>
  <c r="W113" i="3" l="1"/>
  <c r="L113" i="3"/>
  <c r="AH114" i="3" l="1"/>
  <c r="U113" i="3"/>
  <c r="D114" i="3" s="1"/>
  <c r="AG114" i="3"/>
  <c r="Y112" i="3"/>
  <c r="E114" i="3" l="1"/>
  <c r="H114" i="3" s="1"/>
  <c r="K114" i="3" s="1"/>
  <c r="G114" i="3"/>
  <c r="F114" i="3" l="1"/>
  <c r="I114" i="3"/>
  <c r="J114" i="3"/>
  <c r="M114" i="3"/>
  <c r="N114" i="3" s="1"/>
  <c r="V114" i="3"/>
  <c r="AE114" i="3"/>
  <c r="W114" i="3" l="1"/>
  <c r="L114" i="3"/>
  <c r="U114" i="3" l="1"/>
  <c r="D115" i="3" s="1"/>
  <c r="AH115" i="3"/>
  <c r="AG115" i="3"/>
  <c r="Y113" i="3"/>
  <c r="G115" i="3" l="1"/>
  <c r="E115" i="3"/>
  <c r="H115" i="3" s="1"/>
  <c r="F115" i="3" l="1"/>
  <c r="I115" i="3"/>
  <c r="J115" i="3"/>
  <c r="M115" i="3"/>
  <c r="N115" i="3" s="1"/>
  <c r="K115" i="3"/>
  <c r="V115" i="3" l="1"/>
  <c r="W115" i="3" s="1"/>
  <c r="AE115" i="3"/>
  <c r="L115" i="3"/>
  <c r="AH116" i="3" l="1"/>
  <c r="U115" i="3"/>
  <c r="E116" i="3" s="1"/>
  <c r="H116" i="3" s="1"/>
  <c r="AG116" i="3"/>
  <c r="Y114" i="3"/>
  <c r="K116" i="3" l="1"/>
  <c r="D116" i="3"/>
  <c r="V116" i="3" l="1"/>
  <c r="AE116" i="3"/>
  <c r="F116" i="3"/>
  <c r="G116" i="3"/>
  <c r="I116" i="3" l="1"/>
  <c r="W116" i="3" s="1"/>
  <c r="J116" i="3"/>
  <c r="M116" i="3"/>
  <c r="N116" i="3" s="1"/>
  <c r="L116" i="3" l="1"/>
  <c r="U116" i="3" l="1"/>
  <c r="D117" i="3" s="1"/>
  <c r="AH117" i="3"/>
  <c r="AG117" i="3"/>
  <c r="Y115" i="3"/>
  <c r="E117" i="3" l="1"/>
  <c r="H117" i="3" s="1"/>
  <c r="K117" i="3" s="1"/>
  <c r="G117" i="3"/>
  <c r="F117" i="3" l="1"/>
  <c r="I117" i="3"/>
  <c r="J117" i="3"/>
  <c r="M117" i="3"/>
  <c r="N117" i="3" s="1"/>
  <c r="V117" i="3"/>
  <c r="AE117" i="3"/>
  <c r="W117" i="3" l="1"/>
  <c r="L117" i="3"/>
  <c r="AG118" i="3" l="1"/>
  <c r="U117" i="3"/>
  <c r="D118" i="3" s="1"/>
  <c r="AH118" i="3"/>
  <c r="Y116" i="3"/>
  <c r="E118" i="3" l="1"/>
  <c r="H118" i="3" s="1"/>
  <c r="K118" i="3" s="1"/>
  <c r="G118" i="3"/>
  <c r="F118" i="3" l="1"/>
  <c r="I118" i="3"/>
  <c r="J118" i="3"/>
  <c r="M118" i="3"/>
  <c r="N118" i="3" s="1"/>
  <c r="V118" i="3"/>
  <c r="AE118" i="3"/>
  <c r="L118" i="3" l="1"/>
  <c r="W118" i="3"/>
  <c r="U118" i="3" l="1"/>
  <c r="E119" i="3" s="1"/>
  <c r="H119" i="3" s="1"/>
  <c r="AG119" i="3"/>
  <c r="AH119" i="3"/>
  <c r="Y117" i="3"/>
  <c r="D119" i="3" l="1"/>
  <c r="F119" i="3" s="1"/>
  <c r="K119" i="3"/>
  <c r="G119" i="3" l="1"/>
  <c r="M119" i="3" s="1"/>
  <c r="N119" i="3" s="1"/>
  <c r="V119" i="3"/>
  <c r="AE119" i="3"/>
  <c r="I119" i="3" l="1"/>
  <c r="W119" i="3" s="1"/>
  <c r="J119" i="3"/>
  <c r="L119" i="3" s="1"/>
  <c r="AH120" i="3" l="1"/>
  <c r="U119" i="3"/>
  <c r="D120" i="3" s="1"/>
  <c r="AG120" i="3"/>
  <c r="Y118" i="3"/>
  <c r="E120" i="3" l="1"/>
  <c r="H120" i="3" s="1"/>
  <c r="K120" i="3" s="1"/>
  <c r="G120" i="3"/>
  <c r="F120" i="3" l="1"/>
  <c r="I120" i="3"/>
  <c r="J120" i="3"/>
  <c r="M120" i="3"/>
  <c r="N120" i="3" s="1"/>
  <c r="V120" i="3"/>
  <c r="AE120" i="3"/>
  <c r="W120" i="3" l="1"/>
  <c r="L120" i="3"/>
  <c r="U120" i="3" l="1"/>
  <c r="E121" i="3" s="1"/>
  <c r="H121" i="3" s="1"/>
  <c r="AH121" i="3"/>
  <c r="AG121" i="3"/>
  <c r="Y119" i="3"/>
  <c r="D121" i="3" l="1"/>
  <c r="G121" i="3" s="1"/>
  <c r="K121" i="3"/>
  <c r="F121" i="3" l="1"/>
  <c r="I121" i="3"/>
  <c r="J121" i="3"/>
  <c r="M121" i="3"/>
  <c r="N121" i="3" s="1"/>
  <c r="V121" i="3"/>
  <c r="AE121" i="3"/>
  <c r="L121" i="3" l="1"/>
  <c r="W121" i="3"/>
  <c r="U121" i="3" l="1"/>
  <c r="D122" i="3" s="1"/>
  <c r="AG122" i="3"/>
  <c r="AH122" i="3"/>
  <c r="Y120" i="3"/>
  <c r="G122" i="3" l="1"/>
  <c r="E122" i="3"/>
  <c r="H122" i="3" s="1"/>
  <c r="F122" i="3" l="1"/>
  <c r="K122" i="3"/>
  <c r="I122" i="3"/>
  <c r="J122" i="3"/>
  <c r="M122" i="3"/>
  <c r="N122" i="3" s="1"/>
  <c r="L122" i="3" l="1"/>
  <c r="V122" i="3"/>
  <c r="W122" i="3" s="1"/>
  <c r="AE122" i="3"/>
  <c r="U122" i="3" l="1"/>
  <c r="D123" i="3" s="1"/>
  <c r="AH123" i="3"/>
  <c r="AG123" i="3"/>
  <c r="Y121" i="3"/>
  <c r="G123" i="3" l="1"/>
  <c r="E123" i="3"/>
  <c r="H123" i="3" s="1"/>
  <c r="I123" i="3" l="1"/>
  <c r="J123" i="3"/>
  <c r="M123" i="3"/>
  <c r="N123" i="3" s="1"/>
  <c r="K123" i="3"/>
  <c r="F123" i="3"/>
  <c r="V123" i="3" l="1"/>
  <c r="W123" i="3" s="1"/>
  <c r="AE123" i="3"/>
  <c r="L123" i="3"/>
  <c r="U123" i="3" l="1"/>
  <c r="D124" i="3" s="1"/>
  <c r="AH124" i="3"/>
  <c r="AG124" i="3"/>
  <c r="Y122" i="3"/>
  <c r="E124" i="3" l="1"/>
  <c r="H124" i="3" s="1"/>
  <c r="K124" i="3" s="1"/>
  <c r="G124" i="3"/>
  <c r="F124" i="3" l="1"/>
  <c r="I124" i="3"/>
  <c r="J124" i="3"/>
  <c r="M124" i="3"/>
  <c r="N124" i="3" s="1"/>
  <c r="V124" i="3"/>
  <c r="AE124" i="3"/>
  <c r="W124" i="3" l="1"/>
  <c r="L124" i="3"/>
  <c r="U124" i="3" l="1"/>
  <c r="E125" i="3" s="1"/>
  <c r="H125" i="3" s="1"/>
  <c r="AH125" i="3"/>
  <c r="AG125" i="3"/>
  <c r="Y123" i="3"/>
  <c r="K125" i="3" l="1"/>
  <c r="D125" i="3"/>
  <c r="V125" i="3" l="1"/>
  <c r="AE125" i="3"/>
  <c r="F125" i="3"/>
  <c r="G125" i="3"/>
  <c r="I125" i="3" l="1"/>
  <c r="W125" i="3" s="1"/>
  <c r="J125" i="3"/>
  <c r="M125" i="3"/>
  <c r="N125" i="3" s="1"/>
  <c r="L125" i="3" l="1"/>
  <c r="AG126" i="3" l="1"/>
  <c r="AH126" i="3"/>
  <c r="U125" i="3"/>
  <c r="D126" i="3" s="1"/>
  <c r="Y124" i="3"/>
  <c r="E126" i="3" l="1"/>
  <c r="H126" i="3" s="1"/>
  <c r="K126" i="3" s="1"/>
  <c r="G126" i="3"/>
  <c r="F126" i="3" l="1"/>
  <c r="I126" i="3"/>
  <c r="J126" i="3"/>
  <c r="M126" i="3"/>
  <c r="N126" i="3" s="1"/>
  <c r="V126" i="3"/>
  <c r="AE126" i="3"/>
  <c r="W126" i="3" l="1"/>
  <c r="L126" i="3"/>
  <c r="U126" i="3" l="1"/>
  <c r="E127" i="3" s="1"/>
  <c r="H127" i="3" s="1"/>
  <c r="AH127" i="3"/>
  <c r="AG127" i="3"/>
  <c r="Y125" i="3"/>
  <c r="D127" i="3" l="1"/>
  <c r="G127" i="3" s="1"/>
  <c r="K127" i="3"/>
  <c r="F127" i="3" l="1"/>
  <c r="I127" i="3"/>
  <c r="J127" i="3"/>
  <c r="M127" i="3"/>
  <c r="N127" i="3" s="1"/>
  <c r="V127" i="3"/>
  <c r="AE127" i="3"/>
  <c r="W127" i="3" l="1"/>
  <c r="L127" i="3"/>
  <c r="AH128" i="3" l="1"/>
  <c r="U127" i="3"/>
  <c r="E128" i="3" s="1"/>
  <c r="H128" i="3" s="1"/>
  <c r="AG128" i="3"/>
  <c r="Y126" i="3"/>
  <c r="D128" i="3" l="1"/>
  <c r="G128" i="3" s="1"/>
  <c r="K128" i="3"/>
  <c r="F128" i="3" l="1"/>
  <c r="I128" i="3"/>
  <c r="J128" i="3"/>
  <c r="M128" i="3"/>
  <c r="N128" i="3" s="1"/>
  <c r="V128" i="3"/>
  <c r="AE128" i="3"/>
  <c r="W128" i="3" l="1"/>
  <c r="L128" i="3"/>
  <c r="AH129" i="3" l="1"/>
  <c r="U128" i="3"/>
  <c r="D129" i="3" s="1"/>
  <c r="AG129" i="3"/>
  <c r="Y127" i="3"/>
  <c r="G129" i="3" l="1"/>
  <c r="E129" i="3"/>
  <c r="H129" i="3" s="1"/>
  <c r="F129" i="3" l="1"/>
  <c r="I129" i="3"/>
  <c r="J129" i="3"/>
  <c r="M129" i="3"/>
  <c r="N129" i="3" s="1"/>
  <c r="K129" i="3"/>
  <c r="V129" i="3" l="1"/>
  <c r="W129" i="3" s="1"/>
  <c r="AE129" i="3"/>
  <c r="L129" i="3"/>
  <c r="U129" i="3" l="1"/>
  <c r="E130" i="3" s="1"/>
  <c r="H130" i="3" s="1"/>
  <c r="AH130" i="3"/>
  <c r="AG130" i="3"/>
  <c r="Y128" i="3"/>
  <c r="D130" i="3" l="1"/>
  <c r="G130" i="3" s="1"/>
  <c r="K130" i="3"/>
  <c r="F130" i="3" l="1"/>
  <c r="V130" i="3"/>
  <c r="AE130" i="3"/>
  <c r="I130" i="3"/>
  <c r="J130" i="3"/>
  <c r="M130" i="3"/>
  <c r="N130" i="3" s="1"/>
  <c r="L130" i="3" l="1"/>
  <c r="W130" i="3"/>
  <c r="U130" i="3" l="1"/>
  <c r="E131" i="3" s="1"/>
  <c r="H131" i="3" s="1"/>
  <c r="AH131" i="3"/>
  <c r="AG131" i="3"/>
  <c r="Y129" i="3"/>
  <c r="D131" i="3" l="1"/>
  <c r="F131" i="3" s="1"/>
  <c r="K131" i="3"/>
  <c r="G131" i="3" l="1"/>
  <c r="M131" i="3" s="1"/>
  <c r="N131" i="3" s="1"/>
  <c r="V131" i="3"/>
  <c r="AE131" i="3"/>
  <c r="J131" i="3" l="1"/>
  <c r="L131" i="3" s="1"/>
  <c r="I131" i="3"/>
  <c r="W131" i="3" s="1"/>
  <c r="U131" i="3" l="1"/>
  <c r="E132" i="3" s="1"/>
  <c r="H132" i="3" s="1"/>
  <c r="AH132" i="3"/>
  <c r="AG132" i="3"/>
  <c r="Y130" i="3"/>
  <c r="K132" i="3" l="1"/>
  <c r="D132" i="3"/>
  <c r="V132" i="3" l="1"/>
  <c r="AE132" i="3"/>
  <c r="F132" i="3"/>
  <c r="G132" i="3"/>
  <c r="I132" i="3" l="1"/>
  <c r="W132" i="3" s="1"/>
  <c r="J132" i="3"/>
  <c r="M132" i="3"/>
  <c r="N132" i="3" s="1"/>
  <c r="L132" i="3" l="1"/>
  <c r="U132" i="3" l="1"/>
  <c r="D133" i="3" s="1"/>
  <c r="AH133" i="3"/>
  <c r="AG133" i="3"/>
  <c r="Y131" i="3"/>
  <c r="E133" i="3" l="1"/>
  <c r="H133" i="3" s="1"/>
  <c r="K133" i="3" s="1"/>
  <c r="G133" i="3"/>
  <c r="F133" i="3" l="1"/>
  <c r="V133" i="3"/>
  <c r="AE133" i="3"/>
  <c r="I133" i="3"/>
  <c r="J133" i="3"/>
  <c r="M133" i="3"/>
  <c r="N133" i="3" s="1"/>
  <c r="W133" i="3" l="1"/>
  <c r="L133" i="3"/>
  <c r="AG134" i="3" l="1"/>
  <c r="U133" i="3"/>
  <c r="D134" i="3" s="1"/>
  <c r="AH134" i="3"/>
  <c r="Y132" i="3"/>
  <c r="E134" i="3" l="1"/>
  <c r="H134" i="3" s="1"/>
  <c r="K134" i="3" s="1"/>
  <c r="G134" i="3"/>
  <c r="F134" i="3" l="1"/>
  <c r="I134" i="3"/>
  <c r="J134" i="3"/>
  <c r="M134" i="3"/>
  <c r="N134" i="3" s="1"/>
  <c r="V134" i="3"/>
  <c r="AE134" i="3"/>
  <c r="W134" i="3" l="1"/>
  <c r="L134" i="3"/>
  <c r="U134" i="3" l="1"/>
  <c r="E135" i="3" s="1"/>
  <c r="H135" i="3" s="1"/>
  <c r="AH135" i="3"/>
  <c r="AG135" i="3"/>
  <c r="Y133" i="3"/>
  <c r="K135" i="3" l="1"/>
  <c r="D135" i="3"/>
  <c r="V135" i="3" l="1"/>
  <c r="AE135" i="3"/>
  <c r="F135" i="3"/>
  <c r="G135" i="3"/>
  <c r="I135" i="3" l="1"/>
  <c r="W135" i="3" s="1"/>
  <c r="J135" i="3"/>
  <c r="M135" i="3"/>
  <c r="N135" i="3" s="1"/>
  <c r="L135" i="3" l="1"/>
  <c r="AH136" i="3" l="1"/>
  <c r="U135" i="3"/>
  <c r="D136" i="3" s="1"/>
  <c r="AG136" i="3"/>
  <c r="Y134" i="3"/>
  <c r="E136" i="3" l="1"/>
  <c r="H136" i="3" s="1"/>
  <c r="K136" i="3" s="1"/>
  <c r="G136" i="3"/>
  <c r="F136" i="3" l="1"/>
  <c r="I136" i="3"/>
  <c r="J136" i="3"/>
  <c r="M136" i="3"/>
  <c r="N136" i="3" s="1"/>
  <c r="V136" i="3"/>
  <c r="AE136" i="3"/>
  <c r="W136" i="3" l="1"/>
  <c r="L136" i="3"/>
  <c r="U136" i="3" l="1"/>
  <c r="D137" i="3" s="1"/>
  <c r="AH137" i="3"/>
  <c r="AG137" i="3"/>
  <c r="Y135" i="3"/>
  <c r="E137" i="3" l="1"/>
  <c r="H137" i="3" s="1"/>
  <c r="K137" i="3" s="1"/>
  <c r="G137" i="3"/>
  <c r="F137" i="3" l="1"/>
  <c r="I137" i="3"/>
  <c r="J137" i="3"/>
  <c r="M137" i="3"/>
  <c r="N137" i="3" s="1"/>
  <c r="V137" i="3"/>
  <c r="AE137" i="3"/>
  <c r="W137" i="3" l="1"/>
  <c r="L137" i="3"/>
  <c r="AH138" i="3" l="1"/>
  <c r="U137" i="3"/>
  <c r="E138" i="3" s="1"/>
  <c r="H138" i="3" s="1"/>
  <c r="AG138" i="3"/>
  <c r="Y136" i="3"/>
  <c r="D138" i="3" l="1"/>
  <c r="F138" i="3" s="1"/>
  <c r="K138" i="3"/>
  <c r="G138" i="3" l="1"/>
  <c r="M138" i="3" s="1"/>
  <c r="N138" i="3" s="1"/>
  <c r="V138" i="3"/>
  <c r="AE138" i="3"/>
  <c r="I138" i="3" l="1"/>
  <c r="W138" i="3" s="1"/>
  <c r="J138" i="3"/>
  <c r="L138" i="3" s="1"/>
  <c r="U138" i="3" l="1"/>
  <c r="E139" i="3" s="1"/>
  <c r="H139" i="3" s="1"/>
  <c r="AG139" i="3"/>
  <c r="AH139" i="3"/>
  <c r="Y137" i="3"/>
  <c r="D139" i="3" l="1"/>
  <c r="G139" i="3" s="1"/>
  <c r="K139" i="3"/>
  <c r="F139" i="3" l="1"/>
  <c r="V139" i="3"/>
  <c r="AE139" i="3"/>
  <c r="I139" i="3"/>
  <c r="J139" i="3"/>
  <c r="M139" i="3"/>
  <c r="N139" i="3" s="1"/>
  <c r="W139" i="3" l="1"/>
  <c r="L139" i="3"/>
  <c r="AG140" i="3" l="1"/>
  <c r="U139" i="3"/>
  <c r="E140" i="3" s="1"/>
  <c r="H140" i="3" s="1"/>
  <c r="AH140" i="3"/>
  <c r="Y138" i="3"/>
  <c r="D140" i="3" l="1"/>
  <c r="G140" i="3" s="1"/>
  <c r="K140" i="3"/>
  <c r="F140" i="3" l="1"/>
  <c r="V140" i="3"/>
  <c r="AE140" i="3"/>
  <c r="I140" i="3"/>
  <c r="J140" i="3"/>
  <c r="M140" i="3"/>
  <c r="N140" i="3" s="1"/>
  <c r="W140" i="3" l="1"/>
  <c r="L140" i="3"/>
  <c r="AG141" i="3" l="1"/>
  <c r="U140" i="3"/>
  <c r="D141" i="3" s="1"/>
  <c r="AH141" i="3"/>
  <c r="Y139" i="3"/>
  <c r="E141" i="3" l="1"/>
  <c r="H141" i="3" s="1"/>
  <c r="K141" i="3" s="1"/>
  <c r="G141" i="3"/>
  <c r="F141" i="3" l="1"/>
  <c r="I141" i="3"/>
  <c r="J141" i="3"/>
  <c r="M141" i="3"/>
  <c r="N141" i="3" s="1"/>
  <c r="V141" i="3"/>
  <c r="AE141" i="3"/>
  <c r="W141" i="3" l="1"/>
  <c r="L141" i="3"/>
  <c r="U141" i="3" l="1"/>
  <c r="D142" i="3" s="1"/>
  <c r="AH142" i="3"/>
  <c r="AG142" i="3"/>
  <c r="Y140" i="3"/>
  <c r="E142" i="3" l="1"/>
  <c r="H142" i="3" s="1"/>
  <c r="K142" i="3" s="1"/>
  <c r="G142" i="3"/>
  <c r="F142" i="3" l="1"/>
  <c r="V142" i="3"/>
  <c r="AE142" i="3"/>
  <c r="I142" i="3"/>
  <c r="J142" i="3"/>
  <c r="M142" i="3"/>
  <c r="N142" i="3" s="1"/>
  <c r="W142" i="3" l="1"/>
  <c r="L142" i="3"/>
  <c r="U142" i="3" l="1"/>
  <c r="E143" i="3" s="1"/>
  <c r="H143" i="3" s="1"/>
  <c r="AG143" i="3"/>
  <c r="AH143" i="3"/>
  <c r="Y141" i="3"/>
  <c r="D143" i="3" l="1"/>
  <c r="F143" i="3" s="1"/>
  <c r="K143" i="3"/>
  <c r="G143" i="3" l="1"/>
  <c r="M143" i="3" s="1"/>
  <c r="N143" i="3" s="1"/>
  <c r="V143" i="3"/>
  <c r="AE143" i="3"/>
  <c r="J143" i="3" l="1"/>
  <c r="L143" i="3" s="1"/>
  <c r="I143" i="3"/>
  <c r="W143" i="3" s="1"/>
  <c r="U143" i="3" l="1"/>
  <c r="D144" i="3" s="1"/>
  <c r="AG144" i="3"/>
  <c r="AH144" i="3"/>
  <c r="Y142" i="3"/>
  <c r="E144" i="3" l="1"/>
  <c r="H144" i="3" s="1"/>
  <c r="K144" i="3" s="1"/>
  <c r="G144" i="3"/>
  <c r="F144" i="3" l="1"/>
  <c r="V144" i="3"/>
  <c r="AE144" i="3"/>
  <c r="I144" i="3"/>
  <c r="J144" i="3"/>
  <c r="M144" i="3"/>
  <c r="N144" i="3" s="1"/>
  <c r="W144" i="3" l="1"/>
  <c r="L144" i="3"/>
  <c r="AH145" i="3" l="1"/>
  <c r="AG145" i="3"/>
  <c r="U144" i="3"/>
  <c r="D145" i="3" s="1"/>
  <c r="Y143" i="3"/>
  <c r="E145" i="3" l="1"/>
  <c r="H145" i="3" s="1"/>
  <c r="K145" i="3" s="1"/>
  <c r="G145" i="3"/>
  <c r="F145" i="3" l="1"/>
  <c r="I145" i="3"/>
  <c r="J145" i="3"/>
  <c r="M145" i="3"/>
  <c r="N145" i="3" s="1"/>
  <c r="V145" i="3"/>
  <c r="AE145" i="3"/>
  <c r="W145" i="3" l="1"/>
  <c r="L145" i="3"/>
  <c r="U145" i="3" l="1"/>
  <c r="D146" i="3" s="1"/>
  <c r="AH146" i="3"/>
  <c r="AG146" i="3"/>
  <c r="Y144" i="3"/>
  <c r="E146" i="3" l="1"/>
  <c r="H146" i="3" s="1"/>
  <c r="K146" i="3" s="1"/>
  <c r="G146" i="3"/>
  <c r="F146" i="3" l="1"/>
  <c r="I146" i="3"/>
  <c r="J146" i="3"/>
  <c r="M146" i="3"/>
  <c r="N146" i="3" s="1"/>
  <c r="V146" i="3"/>
  <c r="AE146" i="3"/>
  <c r="W146" i="3" l="1"/>
  <c r="L146" i="3"/>
  <c r="U146" i="3" l="1"/>
  <c r="D147" i="3" s="1"/>
  <c r="AG147" i="3"/>
  <c r="AH147" i="3"/>
  <c r="Y145" i="3"/>
  <c r="E147" i="3" l="1"/>
  <c r="H147" i="3" s="1"/>
  <c r="K147" i="3" s="1"/>
  <c r="G147" i="3"/>
  <c r="F147" i="3" l="1"/>
  <c r="V147" i="3"/>
  <c r="AE147" i="3"/>
  <c r="I147" i="3"/>
  <c r="J147" i="3"/>
  <c r="M147" i="3"/>
  <c r="N147" i="3" s="1"/>
  <c r="W147" i="3" l="1"/>
  <c r="L147" i="3"/>
  <c r="AG148" i="3" l="1"/>
  <c r="U147" i="3"/>
  <c r="E148" i="3" s="1"/>
  <c r="H148" i="3" s="1"/>
  <c r="AH148" i="3"/>
  <c r="Y146" i="3"/>
  <c r="K148" i="3" l="1"/>
  <c r="D148" i="3"/>
  <c r="V148" i="3" l="1"/>
  <c r="AE148" i="3"/>
  <c r="F148" i="3"/>
  <c r="G148" i="3"/>
  <c r="I148" i="3" l="1"/>
  <c r="W148" i="3" s="1"/>
  <c r="J148" i="3"/>
  <c r="M148" i="3"/>
  <c r="N148" i="3" s="1"/>
  <c r="L148" i="3" l="1"/>
  <c r="AG149" i="3" l="1"/>
  <c r="U148" i="3"/>
  <c r="D149" i="3" s="1"/>
  <c r="AH149" i="3"/>
  <c r="Y147" i="3"/>
  <c r="E149" i="3" l="1"/>
  <c r="H149" i="3" s="1"/>
  <c r="K149" i="3" s="1"/>
  <c r="G149" i="3"/>
  <c r="F149" i="3" l="1"/>
  <c r="I149" i="3"/>
  <c r="J149" i="3"/>
  <c r="M149" i="3"/>
  <c r="N149" i="3" s="1"/>
  <c r="V149" i="3"/>
  <c r="AE149" i="3"/>
  <c r="W149" i="3" l="1"/>
  <c r="L149" i="3"/>
  <c r="AH150" i="3" l="1"/>
  <c r="U149" i="3"/>
  <c r="D150" i="3" s="1"/>
  <c r="AG150" i="3"/>
  <c r="Y148" i="3"/>
  <c r="E150" i="3" l="1"/>
  <c r="H150" i="3" s="1"/>
  <c r="K150" i="3" s="1"/>
  <c r="G150" i="3"/>
  <c r="F150" i="3" l="1"/>
  <c r="I150" i="3"/>
  <c r="J150" i="3"/>
  <c r="M150" i="3"/>
  <c r="N150" i="3" s="1"/>
  <c r="V150" i="3"/>
  <c r="AE150" i="3"/>
  <c r="W150" i="3" l="1"/>
  <c r="L150" i="3"/>
  <c r="AH151" i="3" l="1"/>
  <c r="U150" i="3"/>
  <c r="E151" i="3" s="1"/>
  <c r="H151" i="3" s="1"/>
  <c r="AG151" i="3"/>
  <c r="Y149" i="3"/>
  <c r="D151" i="3" l="1"/>
  <c r="G151" i="3" s="1"/>
  <c r="K151" i="3"/>
  <c r="F151" i="3" l="1"/>
  <c r="I151" i="3"/>
  <c r="J151" i="3"/>
  <c r="M151" i="3"/>
  <c r="N151" i="3" s="1"/>
  <c r="V151" i="3"/>
  <c r="AE151" i="3"/>
  <c r="W151" i="3" l="1"/>
  <c r="L151" i="3"/>
  <c r="AH152" i="3" l="1"/>
  <c r="AG152" i="3"/>
  <c r="U151" i="3"/>
  <c r="E152" i="3" s="1"/>
  <c r="H152" i="3" s="1"/>
  <c r="Y150" i="3"/>
  <c r="D152" i="3" l="1"/>
  <c r="G152" i="3" s="1"/>
  <c r="K152" i="3"/>
  <c r="F152" i="3" l="1"/>
  <c r="V152" i="3"/>
  <c r="AE152" i="3"/>
  <c r="I152" i="3"/>
  <c r="J152" i="3"/>
  <c r="M152" i="3"/>
  <c r="N152" i="3" s="1"/>
  <c r="W152" i="3" l="1"/>
  <c r="L152" i="3"/>
  <c r="AH153" i="3" l="1"/>
  <c r="U152" i="3"/>
  <c r="D153" i="3" s="1"/>
  <c r="AG153" i="3"/>
  <c r="Y151" i="3"/>
  <c r="G153" i="3" l="1"/>
  <c r="E153" i="3"/>
  <c r="H153" i="3" s="1"/>
  <c r="K153" i="3" l="1"/>
  <c r="I153" i="3"/>
  <c r="J153" i="3"/>
  <c r="M153" i="3"/>
  <c r="N153" i="3" s="1"/>
  <c r="F153" i="3"/>
  <c r="V153" i="3" l="1"/>
  <c r="W153" i="3" s="1"/>
  <c r="AE153" i="3"/>
  <c r="L153" i="3"/>
  <c r="U153" i="3" l="1"/>
  <c r="D154" i="3" s="1"/>
  <c r="AG154" i="3"/>
  <c r="AH154" i="3"/>
  <c r="Y152" i="3"/>
  <c r="E154" i="3" l="1"/>
  <c r="H154" i="3" s="1"/>
  <c r="K154" i="3" s="1"/>
  <c r="G154" i="3"/>
  <c r="F154" i="3" l="1"/>
  <c r="I154" i="3"/>
  <c r="J154" i="3"/>
  <c r="M154" i="3"/>
  <c r="N154" i="3" s="1"/>
  <c r="V154" i="3"/>
  <c r="AE154" i="3"/>
  <c r="L154" i="3" l="1"/>
  <c r="W154" i="3"/>
  <c r="U154" i="3" l="1"/>
  <c r="E155" i="3" s="1"/>
  <c r="H155" i="3" s="1"/>
  <c r="AH155" i="3"/>
  <c r="AG155" i="3"/>
  <c r="Y153" i="3"/>
  <c r="D155" i="3" l="1"/>
  <c r="G155" i="3" s="1"/>
  <c r="K155" i="3"/>
  <c r="F155" i="3" l="1"/>
  <c r="V155" i="3"/>
  <c r="AE155" i="3"/>
  <c r="I155" i="3"/>
  <c r="J155" i="3"/>
  <c r="M155" i="3"/>
  <c r="N155" i="3" s="1"/>
  <c r="W155" i="3" l="1"/>
  <c r="L155" i="3"/>
  <c r="AG156" i="3" l="1"/>
  <c r="U155" i="3"/>
  <c r="D156" i="3" s="1"/>
  <c r="AH156" i="3"/>
  <c r="Y154" i="3"/>
  <c r="E156" i="3" l="1"/>
  <c r="H156" i="3" s="1"/>
  <c r="K156" i="3" s="1"/>
  <c r="G156" i="3"/>
  <c r="F156" i="3" l="1"/>
  <c r="V156" i="3"/>
  <c r="AE156" i="3"/>
  <c r="I156" i="3"/>
  <c r="J156" i="3"/>
  <c r="M156" i="3"/>
  <c r="N156" i="3" s="1"/>
  <c r="W156" i="3" l="1"/>
  <c r="L156" i="3"/>
  <c r="U156" i="3" l="1"/>
  <c r="E157" i="3" s="1"/>
  <c r="H157" i="3" s="1"/>
  <c r="AH157" i="3"/>
  <c r="AG157" i="3"/>
  <c r="Y155" i="3"/>
  <c r="D157" i="3" l="1"/>
  <c r="G157" i="3" s="1"/>
  <c r="K157" i="3"/>
  <c r="F157" i="3" l="1"/>
  <c r="I157" i="3"/>
  <c r="J157" i="3"/>
  <c r="M157" i="3"/>
  <c r="N157" i="3" s="1"/>
  <c r="V157" i="3"/>
  <c r="AE157" i="3"/>
  <c r="W157" i="3" l="1"/>
  <c r="L157" i="3"/>
  <c r="U157" i="3" l="1"/>
  <c r="E158" i="3" s="1"/>
  <c r="H158" i="3" s="1"/>
  <c r="AH158" i="3"/>
  <c r="AG158" i="3"/>
  <c r="Y156" i="3"/>
  <c r="D158" i="3" l="1"/>
  <c r="F158" i="3" s="1"/>
  <c r="K158" i="3"/>
  <c r="G158" i="3" l="1"/>
  <c r="I158" i="3" s="1"/>
  <c r="V158" i="3"/>
  <c r="AE158" i="3"/>
  <c r="M158" i="3" l="1"/>
  <c r="N158" i="3" s="1"/>
  <c r="J158" i="3"/>
  <c r="L158" i="3" s="1"/>
  <c r="W158" i="3"/>
  <c r="U158" i="3" l="1"/>
  <c r="E159" i="3" s="1"/>
  <c r="H159" i="3" s="1"/>
  <c r="AG159" i="3"/>
  <c r="AH159" i="3"/>
  <c r="Y157" i="3"/>
  <c r="D159" i="3" l="1"/>
  <c r="F159" i="3" s="1"/>
  <c r="K159" i="3"/>
  <c r="G159" i="3" l="1"/>
  <c r="M159" i="3" s="1"/>
  <c r="N159" i="3" s="1"/>
  <c r="V159" i="3"/>
  <c r="AE159" i="3"/>
  <c r="I159" i="3" l="1"/>
  <c r="W159" i="3" s="1"/>
  <c r="J159" i="3"/>
  <c r="L159" i="3" s="1"/>
  <c r="AH160" i="3" l="1"/>
  <c r="U159" i="3"/>
  <c r="E160" i="3" s="1"/>
  <c r="H160" i="3" s="1"/>
  <c r="AG160" i="3"/>
  <c r="Y158" i="3"/>
  <c r="D160" i="3" l="1"/>
  <c r="G160" i="3" s="1"/>
  <c r="K160" i="3"/>
  <c r="F160" i="3" l="1"/>
  <c r="I160" i="3"/>
  <c r="J160" i="3"/>
  <c r="M160" i="3"/>
  <c r="N160" i="3" s="1"/>
  <c r="V160" i="3"/>
  <c r="AE160" i="3"/>
  <c r="W160" i="3" l="1"/>
  <c r="L160" i="3"/>
  <c r="AG161" i="3" l="1"/>
  <c r="AH161" i="3"/>
  <c r="U160" i="3"/>
  <c r="E161" i="3" s="1"/>
  <c r="H161" i="3" s="1"/>
  <c r="Y159" i="3"/>
  <c r="D161" i="3" l="1"/>
  <c r="G161" i="3" s="1"/>
  <c r="K161" i="3"/>
  <c r="F161" i="3" l="1"/>
  <c r="I161" i="3"/>
  <c r="J161" i="3"/>
  <c r="M161" i="3"/>
  <c r="N161" i="3" s="1"/>
  <c r="V161" i="3"/>
  <c r="AE161" i="3"/>
  <c r="W161" i="3" l="1"/>
  <c r="L161" i="3"/>
  <c r="U161" i="3" l="1"/>
  <c r="D162" i="3" s="1"/>
  <c r="AG162" i="3"/>
  <c r="AH162" i="3"/>
  <c r="Y160" i="3"/>
  <c r="G162" i="3" l="1"/>
  <c r="E162" i="3"/>
  <c r="H162" i="3" s="1"/>
  <c r="F162" i="3" l="1"/>
  <c r="I162" i="3"/>
  <c r="J162" i="3"/>
  <c r="M162" i="3"/>
  <c r="N162" i="3" s="1"/>
  <c r="K162" i="3"/>
  <c r="V162" i="3" l="1"/>
  <c r="W162" i="3" s="1"/>
  <c r="AE162" i="3"/>
  <c r="L162" i="3"/>
  <c r="U162" i="3" l="1"/>
  <c r="D163" i="3" s="1"/>
  <c r="AH163" i="3"/>
  <c r="AG163" i="3"/>
  <c r="Y161" i="3"/>
  <c r="E163" i="3" l="1"/>
  <c r="H163" i="3" s="1"/>
  <c r="K163" i="3" s="1"/>
  <c r="G163" i="3"/>
  <c r="F163" i="3" l="1"/>
  <c r="V163" i="3"/>
  <c r="AE163" i="3"/>
  <c r="I163" i="3"/>
  <c r="J163" i="3"/>
  <c r="M163" i="3"/>
  <c r="N163" i="3" s="1"/>
  <c r="W163" i="3" l="1"/>
  <c r="L163" i="3"/>
  <c r="AH164" i="3" l="1"/>
  <c r="U163" i="3"/>
  <c r="D164" i="3" s="1"/>
  <c r="AG164" i="3"/>
  <c r="Y162" i="3"/>
  <c r="E164" i="3" l="1"/>
  <c r="H164" i="3" s="1"/>
  <c r="K164" i="3" s="1"/>
  <c r="G164" i="3"/>
  <c r="F164" i="3" l="1"/>
  <c r="I164" i="3"/>
  <c r="J164" i="3"/>
  <c r="M164" i="3"/>
  <c r="N164" i="3" s="1"/>
  <c r="V164" i="3"/>
  <c r="AE164" i="3"/>
  <c r="W164" i="3" l="1"/>
  <c r="L164" i="3"/>
  <c r="U164" i="3" l="1"/>
  <c r="D165" i="3" s="1"/>
  <c r="AG165" i="3"/>
  <c r="AH165" i="3"/>
  <c r="Y163" i="3"/>
  <c r="E165" i="3" l="1"/>
  <c r="H165" i="3" s="1"/>
  <c r="K165" i="3" s="1"/>
  <c r="G165" i="3"/>
  <c r="F165" i="3" l="1"/>
  <c r="V165" i="3"/>
  <c r="AE165" i="3"/>
  <c r="I165" i="3"/>
  <c r="J165" i="3"/>
  <c r="M165" i="3"/>
  <c r="N165" i="3" s="1"/>
  <c r="L165" i="3" l="1"/>
  <c r="W165" i="3"/>
  <c r="AH166" i="3" l="1"/>
  <c r="U165" i="3"/>
  <c r="E166" i="3" s="1"/>
  <c r="H166" i="3" s="1"/>
  <c r="AG166" i="3"/>
  <c r="Y164" i="3"/>
  <c r="D166" i="3" l="1"/>
  <c r="G166" i="3" s="1"/>
  <c r="K166" i="3"/>
  <c r="F166" i="3" l="1"/>
  <c r="I166" i="3"/>
  <c r="J166" i="3"/>
  <c r="M166" i="3"/>
  <c r="N166" i="3" s="1"/>
  <c r="V166" i="3"/>
  <c r="AE166" i="3"/>
  <c r="W166" i="3" l="1"/>
  <c r="L166" i="3"/>
  <c r="AH167" i="3" l="1"/>
  <c r="AG167" i="3"/>
  <c r="U166" i="3"/>
  <c r="E167" i="3" s="1"/>
  <c r="H167" i="3" s="1"/>
  <c r="Y165" i="3"/>
  <c r="K167" i="3" l="1"/>
  <c r="D167" i="3"/>
  <c r="V167" i="3" l="1"/>
  <c r="AE167" i="3"/>
  <c r="F167" i="3"/>
  <c r="G167" i="3"/>
  <c r="I167" i="3" l="1"/>
  <c r="W167" i="3" s="1"/>
  <c r="J167" i="3"/>
  <c r="M167" i="3"/>
  <c r="N167" i="3" s="1"/>
  <c r="L167" i="3" l="1"/>
  <c r="AH168" i="3" l="1"/>
  <c r="U167" i="3"/>
  <c r="E168" i="3" s="1"/>
  <c r="H168" i="3" s="1"/>
  <c r="AG168" i="3"/>
  <c r="Y166" i="3"/>
  <c r="D168" i="3" l="1"/>
  <c r="F168" i="3" s="1"/>
  <c r="K168" i="3"/>
  <c r="G168" i="3" l="1"/>
  <c r="I168" i="3" s="1"/>
  <c r="V168" i="3"/>
  <c r="AE168" i="3"/>
  <c r="M168" i="3" l="1"/>
  <c r="N168" i="3" s="1"/>
  <c r="J168" i="3"/>
  <c r="L168" i="3" s="1"/>
  <c r="W168" i="3"/>
  <c r="U168" i="3" l="1"/>
  <c r="E169" i="3" s="1"/>
  <c r="H169" i="3" s="1"/>
  <c r="AH169" i="3"/>
  <c r="AG169" i="3"/>
  <c r="Y167" i="3"/>
  <c r="D169" i="3" l="1"/>
  <c r="F169" i="3" s="1"/>
  <c r="K169" i="3"/>
  <c r="G169" i="3" l="1"/>
  <c r="I169" i="3" s="1"/>
  <c r="V169" i="3"/>
  <c r="AE169" i="3"/>
  <c r="M169" i="3" l="1"/>
  <c r="N169" i="3" s="1"/>
  <c r="J169" i="3"/>
  <c r="L169" i="3" s="1"/>
  <c r="W169" i="3"/>
  <c r="AH170" i="3" l="1"/>
  <c r="U169" i="3"/>
  <c r="E170" i="3" s="1"/>
  <c r="H170" i="3" s="1"/>
  <c r="AG170" i="3"/>
  <c r="Y168" i="3"/>
  <c r="D170" i="3" l="1"/>
  <c r="G170" i="3" s="1"/>
  <c r="K170" i="3"/>
  <c r="F170" i="3" l="1"/>
  <c r="I170" i="3"/>
  <c r="J170" i="3"/>
  <c r="M170" i="3"/>
  <c r="N170" i="3" s="1"/>
  <c r="V170" i="3"/>
  <c r="AE170" i="3"/>
  <c r="W170" i="3" l="1"/>
  <c r="L170" i="3"/>
  <c r="AG171" i="3" l="1"/>
  <c r="U170" i="3"/>
  <c r="E171" i="3" s="1"/>
  <c r="H171" i="3" s="1"/>
  <c r="AH171" i="3"/>
  <c r="Y169" i="3"/>
  <c r="K171" i="3" l="1"/>
  <c r="D171" i="3"/>
  <c r="F171" i="3" l="1"/>
  <c r="G171" i="3"/>
  <c r="V171" i="3"/>
  <c r="AE171" i="3"/>
  <c r="I171" i="3" l="1"/>
  <c r="W171" i="3" s="1"/>
  <c r="J171" i="3"/>
  <c r="M171" i="3"/>
  <c r="N171" i="3" s="1"/>
  <c r="L171" i="3" l="1"/>
  <c r="U171" i="3" l="1"/>
  <c r="E172" i="3" s="1"/>
  <c r="H172" i="3" s="1"/>
  <c r="AH172" i="3"/>
  <c r="AG172" i="3"/>
  <c r="Y170" i="3"/>
  <c r="K172" i="3" l="1"/>
  <c r="D172" i="3"/>
  <c r="V172" i="3" l="1"/>
  <c r="AE172" i="3"/>
  <c r="F172" i="3"/>
  <c r="G172" i="3"/>
  <c r="I172" i="3" l="1"/>
  <c r="W172" i="3" s="1"/>
  <c r="J172" i="3"/>
  <c r="M172" i="3"/>
  <c r="N172" i="3" s="1"/>
  <c r="L172" i="3" l="1"/>
  <c r="U172" i="3" l="1"/>
  <c r="E173" i="3" s="1"/>
  <c r="H173" i="3" s="1"/>
  <c r="AH173" i="3"/>
  <c r="AG173" i="3"/>
  <c r="Y171" i="3"/>
  <c r="D173" i="3" l="1"/>
  <c r="G173" i="3" s="1"/>
  <c r="K173" i="3"/>
  <c r="F173" i="3" l="1"/>
  <c r="I173" i="3"/>
  <c r="J173" i="3"/>
  <c r="M173" i="3"/>
  <c r="N173" i="3" s="1"/>
  <c r="V173" i="3"/>
  <c r="AE173" i="3"/>
  <c r="L173" i="3" l="1"/>
  <c r="W173" i="3"/>
  <c r="U173" i="3" l="1"/>
  <c r="E174" i="3" s="1"/>
  <c r="H174" i="3" s="1"/>
  <c r="AG174" i="3"/>
  <c r="AH174" i="3"/>
  <c r="Y172" i="3"/>
  <c r="D174" i="3" l="1"/>
  <c r="G174" i="3" s="1"/>
  <c r="K174" i="3"/>
  <c r="F174" i="3" l="1"/>
  <c r="V174" i="3"/>
  <c r="AE174" i="3"/>
  <c r="I174" i="3"/>
  <c r="J174" i="3"/>
  <c r="M174" i="3"/>
  <c r="N174" i="3" s="1"/>
  <c r="W174" i="3" l="1"/>
  <c r="L174" i="3"/>
  <c r="U174" i="3" l="1"/>
  <c r="D175" i="3" s="1"/>
  <c r="AG175" i="3"/>
  <c r="AH175" i="3"/>
  <c r="Y173" i="3"/>
  <c r="E175" i="3" l="1"/>
  <c r="H175" i="3" s="1"/>
  <c r="K175" i="3" s="1"/>
  <c r="G175" i="3"/>
  <c r="F175" i="3" l="1"/>
  <c r="I175" i="3"/>
  <c r="J175" i="3"/>
  <c r="M175" i="3"/>
  <c r="N175" i="3" s="1"/>
  <c r="V175" i="3"/>
  <c r="AE175" i="3"/>
  <c r="W175" i="3" l="1"/>
  <c r="L175" i="3"/>
  <c r="U175" i="3" l="1"/>
  <c r="E176" i="3" s="1"/>
  <c r="H176" i="3" s="1"/>
  <c r="AG176" i="3"/>
  <c r="AH176" i="3"/>
  <c r="Y174" i="3"/>
  <c r="D176" i="3" l="1"/>
  <c r="G176" i="3" s="1"/>
  <c r="K176" i="3"/>
  <c r="F176" i="3" l="1"/>
  <c r="I176" i="3"/>
  <c r="J176" i="3"/>
  <c r="M176" i="3"/>
  <c r="N176" i="3" s="1"/>
  <c r="V176" i="3"/>
  <c r="AE176" i="3"/>
  <c r="W176" i="3" l="1"/>
  <c r="L176" i="3"/>
  <c r="AH177" i="3" l="1"/>
  <c r="U176" i="3"/>
  <c r="D177" i="3" s="1"/>
  <c r="AG177" i="3"/>
  <c r="Y175" i="3"/>
  <c r="G177" i="3" l="1"/>
  <c r="E177" i="3"/>
  <c r="H177" i="3" s="1"/>
  <c r="F177" i="3" l="1"/>
  <c r="I177" i="3"/>
  <c r="J177" i="3"/>
  <c r="M177" i="3"/>
  <c r="N177" i="3" s="1"/>
  <c r="K177" i="3"/>
  <c r="V177" i="3" l="1"/>
  <c r="W177" i="3" s="1"/>
  <c r="AE177" i="3"/>
  <c r="L177" i="3"/>
  <c r="AH178" i="3" l="1"/>
  <c r="U177" i="3"/>
  <c r="E178" i="3" s="1"/>
  <c r="H178" i="3" s="1"/>
  <c r="AG178" i="3"/>
  <c r="Y176" i="3"/>
  <c r="D178" i="3" l="1"/>
  <c r="G178" i="3" s="1"/>
  <c r="K178" i="3"/>
  <c r="F178" i="3" l="1"/>
  <c r="I178" i="3"/>
  <c r="J178" i="3"/>
  <c r="M178" i="3"/>
  <c r="N178" i="3" s="1"/>
  <c r="V178" i="3"/>
  <c r="AE178" i="3"/>
  <c r="W178" i="3" l="1"/>
  <c r="L178" i="3"/>
  <c r="U178" i="3" l="1"/>
  <c r="E179" i="3" s="1"/>
  <c r="H179" i="3" s="1"/>
  <c r="AG179" i="3"/>
  <c r="AH179" i="3"/>
  <c r="Y177" i="3"/>
  <c r="D179" i="3" l="1"/>
  <c r="G179" i="3" s="1"/>
  <c r="K179" i="3"/>
  <c r="F179" i="3" l="1"/>
  <c r="V179" i="3"/>
  <c r="AE179" i="3"/>
  <c r="I179" i="3"/>
  <c r="J179" i="3"/>
  <c r="M179" i="3"/>
  <c r="N179" i="3" s="1"/>
  <c r="W179" i="3" l="1"/>
  <c r="L179" i="3"/>
  <c r="AG180" i="3" l="1"/>
  <c r="U179" i="3"/>
  <c r="D180" i="3" s="1"/>
  <c r="AH180" i="3"/>
  <c r="Y178" i="3"/>
  <c r="E180" i="3" l="1"/>
  <c r="H180" i="3" s="1"/>
  <c r="K180" i="3" s="1"/>
  <c r="G180" i="3"/>
  <c r="F180" i="3" l="1"/>
  <c r="I180" i="3"/>
  <c r="J180" i="3"/>
  <c r="M180" i="3"/>
  <c r="N180" i="3" s="1"/>
  <c r="V180" i="3"/>
  <c r="AE180" i="3"/>
  <c r="L180" i="3" l="1"/>
  <c r="W180" i="3"/>
  <c r="U180" i="3" l="1"/>
  <c r="E181" i="3" s="1"/>
  <c r="H181" i="3" s="1"/>
  <c r="AH181" i="3"/>
  <c r="AG181" i="3"/>
  <c r="Y179" i="3"/>
  <c r="D181" i="3" l="1"/>
  <c r="G181" i="3" s="1"/>
  <c r="K181" i="3"/>
  <c r="F181" i="3" l="1"/>
  <c r="I181" i="3"/>
  <c r="J181" i="3"/>
  <c r="M181" i="3"/>
  <c r="N181" i="3" s="1"/>
  <c r="V181" i="3"/>
  <c r="AE181" i="3"/>
  <c r="W181" i="3" l="1"/>
  <c r="L181" i="3"/>
  <c r="AH182" i="3" l="1"/>
  <c r="U181" i="3"/>
  <c r="E182" i="3" s="1"/>
  <c r="H182" i="3" s="1"/>
  <c r="AG182" i="3"/>
  <c r="Y180" i="3"/>
  <c r="K182" i="3" l="1"/>
  <c r="D182" i="3"/>
  <c r="V182" i="3" l="1"/>
  <c r="AE182" i="3"/>
  <c r="F182" i="3"/>
  <c r="G182" i="3"/>
  <c r="I182" i="3" l="1"/>
  <c r="W182" i="3" s="1"/>
  <c r="J182" i="3"/>
  <c r="M182" i="3"/>
  <c r="N182" i="3" s="1"/>
  <c r="L182" i="3" l="1"/>
  <c r="U182" i="3" l="1"/>
  <c r="E183" i="3" s="1"/>
  <c r="H183" i="3" s="1"/>
  <c r="AH183" i="3"/>
  <c r="AG183" i="3"/>
  <c r="Y181" i="3"/>
  <c r="D183" i="3" l="1"/>
  <c r="G183" i="3" s="1"/>
  <c r="K183" i="3"/>
  <c r="F183" i="3" l="1"/>
  <c r="I183" i="3"/>
  <c r="J183" i="3"/>
  <c r="M183" i="3"/>
  <c r="N183" i="3" s="1"/>
  <c r="V183" i="3"/>
  <c r="AE183" i="3"/>
  <c r="W183" i="3" l="1"/>
  <c r="L183" i="3"/>
  <c r="U183" i="3" l="1"/>
  <c r="D184" i="3" s="1"/>
  <c r="AG184" i="3"/>
  <c r="AH184" i="3"/>
  <c r="Y182" i="3"/>
  <c r="G184" i="3" l="1"/>
  <c r="E184" i="3"/>
  <c r="H184" i="3" s="1"/>
  <c r="K184" i="3" l="1"/>
  <c r="I184" i="3"/>
  <c r="J184" i="3"/>
  <c r="M184" i="3"/>
  <c r="N184" i="3" s="1"/>
  <c r="F184" i="3"/>
  <c r="V184" i="3" l="1"/>
  <c r="W184" i="3" s="1"/>
  <c r="AE184" i="3"/>
  <c r="L184" i="3"/>
  <c r="AH185" i="3" l="1"/>
  <c r="AG185" i="3"/>
  <c r="U184" i="3"/>
  <c r="D185" i="3" s="1"/>
  <c r="Y183" i="3"/>
  <c r="E185" i="3" l="1"/>
  <c r="H185" i="3" s="1"/>
  <c r="K185" i="3" s="1"/>
  <c r="G185" i="3"/>
  <c r="F185" i="3" l="1"/>
  <c r="I185" i="3"/>
  <c r="J185" i="3"/>
  <c r="M185" i="3"/>
  <c r="N185" i="3" s="1"/>
  <c r="V185" i="3"/>
  <c r="AE185" i="3"/>
  <c r="W185" i="3" l="1"/>
  <c r="L185" i="3"/>
  <c r="U185" i="3" l="1"/>
  <c r="E186" i="3" s="1"/>
  <c r="H186" i="3" s="1"/>
  <c r="AH186" i="3"/>
  <c r="AG186" i="3"/>
  <c r="Y184" i="3"/>
  <c r="D186" i="3" l="1"/>
  <c r="G186" i="3" s="1"/>
  <c r="K186" i="3"/>
  <c r="F186" i="3" l="1"/>
  <c r="V186" i="3"/>
  <c r="AE186" i="3"/>
  <c r="I186" i="3"/>
  <c r="J186" i="3"/>
  <c r="M186" i="3"/>
  <c r="N186" i="3" s="1"/>
  <c r="L186" i="3" l="1"/>
  <c r="W186" i="3"/>
  <c r="AG187" i="3" l="1"/>
  <c r="AH187" i="3"/>
  <c r="U186" i="3"/>
  <c r="D187" i="3" s="1"/>
  <c r="Y185" i="3"/>
  <c r="G187" i="3" l="1"/>
  <c r="E187" i="3"/>
  <c r="H187" i="3" s="1"/>
  <c r="I187" i="3" l="1"/>
  <c r="J187" i="3"/>
  <c r="M187" i="3"/>
  <c r="N187" i="3" s="1"/>
  <c r="F187" i="3"/>
  <c r="K187" i="3"/>
  <c r="L187" i="3" l="1"/>
  <c r="V187" i="3"/>
  <c r="W187" i="3" s="1"/>
  <c r="AE187" i="3"/>
  <c r="AG188" i="3" l="1"/>
  <c r="U187" i="3"/>
  <c r="E188" i="3" s="1"/>
  <c r="H188" i="3" s="1"/>
  <c r="AH188" i="3"/>
  <c r="Y186" i="3"/>
  <c r="D188" i="3" l="1"/>
  <c r="G188" i="3" s="1"/>
  <c r="K188" i="3"/>
  <c r="F188" i="3" l="1"/>
  <c r="I188" i="3"/>
  <c r="J188" i="3"/>
  <c r="M188" i="3"/>
  <c r="N188" i="3" s="1"/>
  <c r="V188" i="3"/>
  <c r="AE188" i="3"/>
  <c r="W188" i="3" l="1"/>
  <c r="L188" i="3"/>
  <c r="U188" i="3" l="1"/>
  <c r="E189" i="3" s="1"/>
  <c r="H189" i="3" s="1"/>
  <c r="AH189" i="3"/>
  <c r="AG189" i="3"/>
  <c r="Y187" i="3"/>
  <c r="D189" i="3" l="1"/>
  <c r="G189" i="3" s="1"/>
  <c r="K189" i="3"/>
  <c r="F189" i="3" l="1"/>
  <c r="I189" i="3"/>
  <c r="J189" i="3"/>
  <c r="M189" i="3"/>
  <c r="N189" i="3" s="1"/>
  <c r="V189" i="3"/>
  <c r="AE189" i="3"/>
  <c r="W189" i="3" l="1"/>
  <c r="L189" i="3"/>
  <c r="AH190" i="3" l="1"/>
  <c r="U189" i="3"/>
  <c r="D190" i="3" s="1"/>
  <c r="AG190" i="3"/>
  <c r="Y188" i="3"/>
  <c r="G190" i="3" l="1"/>
  <c r="E190" i="3"/>
  <c r="H190" i="3" s="1"/>
  <c r="K190" i="3" l="1"/>
  <c r="I190" i="3"/>
  <c r="J190" i="3"/>
  <c r="M190" i="3"/>
  <c r="N190" i="3" s="1"/>
  <c r="F190" i="3"/>
  <c r="L190" i="3" l="1"/>
  <c r="V190" i="3"/>
  <c r="W190" i="3" s="1"/>
  <c r="AE190" i="3"/>
  <c r="AG191" i="3" l="1"/>
  <c r="U190" i="3"/>
  <c r="E191" i="3" s="1"/>
  <c r="H191" i="3" s="1"/>
  <c r="AH191" i="3"/>
  <c r="Y189" i="3"/>
  <c r="K191" i="3" l="1"/>
  <c r="D191" i="3"/>
  <c r="V191" i="3" l="1"/>
  <c r="AE191" i="3"/>
  <c r="F191" i="3"/>
  <c r="G191" i="3"/>
  <c r="I191" i="3" l="1"/>
  <c r="W191" i="3" s="1"/>
  <c r="J191" i="3"/>
  <c r="M191" i="3"/>
  <c r="N191" i="3" s="1"/>
  <c r="L191" i="3" l="1"/>
  <c r="AG192" i="3" l="1"/>
  <c r="U191" i="3"/>
  <c r="E192" i="3" s="1"/>
  <c r="H192" i="3" s="1"/>
  <c r="AH192" i="3"/>
  <c r="Y190" i="3"/>
  <c r="D192" i="3" l="1"/>
  <c r="G192" i="3" s="1"/>
  <c r="K192" i="3"/>
  <c r="F192" i="3" l="1"/>
  <c r="I192" i="3"/>
  <c r="J192" i="3"/>
  <c r="M192" i="3"/>
  <c r="N192" i="3" s="1"/>
  <c r="V192" i="3"/>
  <c r="AE192" i="3"/>
  <c r="W192" i="3" l="1"/>
  <c r="L192" i="3"/>
  <c r="U192" i="3" l="1"/>
  <c r="D193" i="3" s="1"/>
  <c r="AG193" i="3"/>
  <c r="AH193" i="3"/>
  <c r="Y191" i="3"/>
  <c r="G193" i="3" l="1"/>
  <c r="E193" i="3"/>
  <c r="H193" i="3" s="1"/>
  <c r="K193" i="3" l="1"/>
  <c r="I193" i="3"/>
  <c r="J193" i="3"/>
  <c r="M193" i="3"/>
  <c r="N193" i="3" s="1"/>
  <c r="F193" i="3"/>
  <c r="L193" i="3" l="1"/>
  <c r="V193" i="3"/>
  <c r="W193" i="3" s="1"/>
  <c r="AE193" i="3"/>
  <c r="AH194" i="3" l="1"/>
  <c r="AG194" i="3"/>
  <c r="U193" i="3"/>
  <c r="D194" i="3" s="1"/>
  <c r="Y192" i="3"/>
  <c r="E194" i="3" l="1"/>
  <c r="H194" i="3" s="1"/>
  <c r="K194" i="3" s="1"/>
  <c r="G194" i="3"/>
  <c r="F194" i="3" l="1"/>
  <c r="V194" i="3"/>
  <c r="AE194" i="3"/>
  <c r="I194" i="3"/>
  <c r="J194" i="3"/>
  <c r="M194" i="3"/>
  <c r="N194" i="3" s="1"/>
  <c r="W194" i="3" l="1"/>
  <c r="L194" i="3"/>
  <c r="U194" i="3" l="1"/>
  <c r="D195" i="3" s="1"/>
  <c r="AH195" i="3"/>
  <c r="AG195" i="3"/>
  <c r="Y193" i="3"/>
  <c r="E195" i="3" l="1"/>
  <c r="H195" i="3" s="1"/>
  <c r="K195" i="3" s="1"/>
  <c r="G195" i="3"/>
  <c r="F195" i="3" l="1"/>
  <c r="V195" i="3"/>
  <c r="AE195" i="3"/>
  <c r="I195" i="3"/>
  <c r="J195" i="3"/>
  <c r="M195" i="3"/>
  <c r="N195" i="3" s="1"/>
  <c r="W195" i="3" l="1"/>
  <c r="L195" i="3"/>
  <c r="AH196" i="3" l="1"/>
  <c r="U195" i="3"/>
  <c r="D196" i="3" s="1"/>
  <c r="AG196" i="3"/>
  <c r="Y194" i="3"/>
  <c r="E196" i="3" l="1"/>
  <c r="H196" i="3" s="1"/>
  <c r="K196" i="3" s="1"/>
  <c r="G196" i="3"/>
  <c r="F196" i="3" l="1"/>
  <c r="I196" i="3"/>
  <c r="J196" i="3"/>
  <c r="M196" i="3"/>
  <c r="N196" i="3" s="1"/>
  <c r="V196" i="3"/>
  <c r="AE196" i="3"/>
  <c r="L196" i="3" l="1"/>
  <c r="W196" i="3"/>
  <c r="U196" i="3" l="1"/>
  <c r="E197" i="3" s="1"/>
  <c r="H197" i="3" s="1"/>
  <c r="AG197" i="3"/>
  <c r="AH197" i="3"/>
  <c r="Y195" i="3"/>
  <c r="D197" i="3" l="1"/>
  <c r="G197" i="3" s="1"/>
  <c r="K197" i="3"/>
  <c r="F197" i="3" l="1"/>
  <c r="I197" i="3"/>
  <c r="J197" i="3"/>
  <c r="M197" i="3"/>
  <c r="N197" i="3" s="1"/>
  <c r="V197" i="3"/>
  <c r="AE197" i="3"/>
  <c r="W197" i="3" l="1"/>
  <c r="L197" i="3"/>
  <c r="AG198" i="3" l="1"/>
  <c r="AH198" i="3"/>
  <c r="U197" i="3"/>
  <c r="E198" i="3" s="1"/>
  <c r="H198" i="3" s="1"/>
  <c r="Y196" i="3"/>
  <c r="K198" i="3" l="1"/>
  <c r="D198" i="3"/>
  <c r="V198" i="3" l="1"/>
  <c r="AE198" i="3"/>
  <c r="F198" i="3"/>
  <c r="G198" i="3"/>
  <c r="I198" i="3" l="1"/>
  <c r="W198" i="3" s="1"/>
  <c r="J198" i="3"/>
  <c r="M198" i="3"/>
  <c r="N198" i="3" s="1"/>
  <c r="L198" i="3" l="1"/>
  <c r="AG199" i="3" l="1"/>
  <c r="U198" i="3"/>
  <c r="E199" i="3" s="1"/>
  <c r="H199" i="3" s="1"/>
  <c r="AH199" i="3"/>
  <c r="Y197" i="3"/>
  <c r="K199" i="3" l="1"/>
  <c r="D199" i="3"/>
  <c r="V199" i="3" l="1"/>
  <c r="AE199" i="3"/>
  <c r="F199" i="3"/>
  <c r="G199" i="3"/>
  <c r="I199" i="3" l="1"/>
  <c r="W199" i="3" s="1"/>
  <c r="J199" i="3"/>
  <c r="M199" i="3"/>
  <c r="N199" i="3" s="1"/>
  <c r="L199" i="3" l="1"/>
  <c r="AH200" i="3" l="1"/>
  <c r="AG200" i="3"/>
  <c r="U199" i="3"/>
  <c r="E200" i="3" s="1"/>
  <c r="H200" i="3" s="1"/>
  <c r="Y198" i="3"/>
  <c r="K200" i="3" l="1"/>
  <c r="D200" i="3"/>
  <c r="V200" i="3" l="1"/>
  <c r="AE200" i="3"/>
  <c r="F200" i="3"/>
  <c r="G200" i="3"/>
  <c r="I200" i="3" l="1"/>
  <c r="W200" i="3" s="1"/>
  <c r="J200" i="3"/>
  <c r="M200" i="3"/>
  <c r="N200" i="3" s="1"/>
  <c r="L200" i="3" l="1"/>
  <c r="AG201" i="3" l="1"/>
  <c r="U200" i="3"/>
  <c r="E201" i="3" s="1"/>
  <c r="H201" i="3" s="1"/>
  <c r="AH201" i="3"/>
  <c r="Y199" i="3"/>
  <c r="D201" i="3" l="1"/>
  <c r="G201" i="3" s="1"/>
  <c r="K201" i="3"/>
  <c r="F201" i="3" l="1"/>
  <c r="I201" i="3"/>
  <c r="J201" i="3"/>
  <c r="M201" i="3"/>
  <c r="N201" i="3" s="1"/>
  <c r="V201" i="3"/>
  <c r="AE201" i="3"/>
  <c r="W201" i="3" l="1"/>
  <c r="L201" i="3"/>
  <c r="U201" i="3" l="1"/>
  <c r="E202" i="3" s="1"/>
  <c r="H202" i="3" s="1"/>
  <c r="AG202" i="3"/>
  <c r="AH202" i="3"/>
  <c r="Y200" i="3"/>
  <c r="D202" i="3" l="1"/>
  <c r="G202" i="3" s="1"/>
  <c r="K202" i="3"/>
  <c r="F202" i="3" l="1"/>
  <c r="V202" i="3"/>
  <c r="AE202" i="3"/>
  <c r="I202" i="3"/>
  <c r="J202" i="3"/>
  <c r="M202" i="3"/>
  <c r="N202" i="3" s="1"/>
  <c r="W202" i="3" l="1"/>
  <c r="L202" i="3"/>
  <c r="U202" i="3" l="1"/>
  <c r="E203" i="3" s="1"/>
  <c r="H203" i="3" s="1"/>
  <c r="AH203" i="3"/>
  <c r="AG203" i="3"/>
  <c r="Y201" i="3"/>
  <c r="D203" i="3" l="1"/>
  <c r="G203" i="3" s="1"/>
  <c r="K203" i="3"/>
  <c r="F203" i="3" l="1"/>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AD207" i="3"/>
  <c r="P207" i="3"/>
  <c r="Q207" i="3" s="1"/>
  <c r="R207" i="3" s="1"/>
  <c r="S207" i="3" s="1"/>
  <c r="AC207" i="3"/>
  <c r="Z207" i="3"/>
  <c r="AA207" i="3"/>
  <c r="T207" i="3" l="1"/>
  <c r="U206" i="3"/>
  <c r="Y205" i="3"/>
  <c r="D207" i="3" l="1"/>
  <c r="G207" i="3" s="1"/>
  <c r="AH207" i="3"/>
  <c r="E207" i="3"/>
  <c r="H207" i="3" s="1"/>
  <c r="AG207" i="3"/>
  <c r="F207" i="3" l="1"/>
  <c r="I207" i="3"/>
  <c r="J207" i="3"/>
  <c r="M207" i="3"/>
  <c r="N207" i="3" s="1"/>
  <c r="K207" i="3"/>
  <c r="V207" i="3" l="1"/>
  <c r="W207" i="3" s="1"/>
  <c r="AE207" i="3"/>
  <c r="A208" i="3"/>
  <c r="B208" i="3" s="1"/>
  <c r="L207" i="3"/>
  <c r="Z208" i="3" l="1"/>
  <c r="AC208" i="3"/>
  <c r="AA208" i="3"/>
  <c r="P208" i="3"/>
  <c r="Q208" i="3" s="1"/>
  <c r="R208" i="3" s="1"/>
  <c r="S208" i="3" s="1"/>
  <c r="AD208" i="3"/>
  <c r="U207" i="3"/>
  <c r="Y206" i="3"/>
  <c r="T208" i="3" l="1"/>
  <c r="AG208" i="3" s="1"/>
  <c r="AH208" i="3" l="1"/>
  <c r="D208" i="3"/>
  <c r="G208" i="3" s="1"/>
  <c r="E208" i="3"/>
  <c r="H208" i="3" s="1"/>
  <c r="K208" i="3" s="1"/>
  <c r="F208" i="3" l="1"/>
  <c r="I208" i="3"/>
  <c r="J208" i="3"/>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AD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AD217" i="3"/>
  <c r="T217" i="3" l="1"/>
  <c r="D217" i="3" s="1"/>
  <c r="G217" i="3" l="1"/>
  <c r="AG217" i="3"/>
  <c r="AH217" i="3"/>
  <c r="E217" i="3"/>
  <c r="H217" i="3" s="1"/>
  <c r="I217" i="3" l="1"/>
  <c r="J217" i="3"/>
  <c r="M217" i="3"/>
  <c r="N217" i="3" s="1"/>
  <c r="K217" i="3"/>
  <c r="AE217" i="3" s="1"/>
  <c r="F217" i="3"/>
  <c r="V217" i="3" l="1"/>
  <c r="W217" i="3" s="1"/>
  <c r="A218" i="3"/>
  <c r="B218" i="3" s="1"/>
  <c r="L217" i="3"/>
  <c r="U217" i="3" l="1"/>
  <c r="Y216" i="3"/>
  <c r="AC218" i="3"/>
  <c r="AA218" i="3"/>
  <c r="Z218" i="3"/>
  <c r="P218" i="3"/>
  <c r="Q218" i="3" s="1"/>
  <c r="R218" i="3" s="1"/>
  <c r="S218" i="3" s="1"/>
  <c r="AD218" i="3"/>
  <c r="T218" i="3" l="1"/>
  <c r="AG218" i="3" s="1"/>
  <c r="AH218" i="3" l="1"/>
  <c r="E218" i="3"/>
  <c r="H218" i="3" s="1"/>
  <c r="K218" i="3" s="1"/>
  <c r="AE218" i="3" s="1"/>
  <c r="D218" i="3"/>
  <c r="G218" i="3" s="1"/>
  <c r="F218" i="3" l="1"/>
  <c r="I218" i="3"/>
  <c r="J218" i="3"/>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D227" i="3"/>
  <c r="AC227" i="3"/>
  <c r="T227" i="3" l="1"/>
  <c r="D227" i="3" s="1"/>
  <c r="E227" i="3" l="1"/>
  <c r="H227" i="3" s="1"/>
  <c r="K227" i="3" s="1"/>
  <c r="AE227" i="3" s="1"/>
  <c r="AH227" i="3"/>
  <c r="AG227" i="3"/>
  <c r="G227" i="3"/>
  <c r="F227" i="3" l="1"/>
  <c r="V227" i="3"/>
  <c r="A228" i="3"/>
  <c r="B228" i="3" s="1"/>
  <c r="I227" i="3"/>
  <c r="J227" i="3"/>
  <c r="M227" i="3"/>
  <c r="N227" i="3" s="1"/>
  <c r="L227" i="3" l="1"/>
  <c r="W227" i="3"/>
  <c r="AD228"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D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L237" i="3" s="1"/>
  <c r="P238" i="3"/>
  <c r="Q238" i="3" s="1"/>
  <c r="R238" i="3" s="1"/>
  <c r="S238" i="3" s="1"/>
  <c r="Z238" i="3"/>
  <c r="AC238" i="3"/>
  <c r="AA238" i="3"/>
  <c r="AD238" i="3"/>
  <c r="T238" i="3" l="1"/>
  <c r="AG238" i="3" s="1"/>
  <c r="U237" i="3"/>
  <c r="Y236" i="3"/>
  <c r="AH238" i="3" l="1"/>
  <c r="E238" i="3"/>
  <c r="H238" i="3" s="1"/>
  <c r="K238" i="3" s="1"/>
  <c r="AE238" i="3" s="1"/>
  <c r="D238" i="3"/>
  <c r="F238" i="3" l="1"/>
  <c r="G238" i="3"/>
  <c r="M238" i="3" s="1"/>
  <c r="N238" i="3" s="1"/>
  <c r="V238" i="3"/>
  <c r="A239" i="3"/>
  <c r="B239" i="3" s="1"/>
  <c r="I238" i="3" l="1"/>
  <c r="W238" i="3" s="1"/>
  <c r="J238" i="3"/>
  <c r="L238" i="3" s="1"/>
  <c r="AD239" i="3"/>
  <c r="P239" i="3"/>
  <c r="Q239" i="3" s="1"/>
  <c r="R239" i="3" s="1"/>
  <c r="S239" i="3" s="1"/>
  <c r="AC239" i="3"/>
  <c r="Z239" i="3"/>
  <c r="AA239" i="3"/>
  <c r="T239" i="3" l="1"/>
  <c r="U238" i="3"/>
  <c r="Y237" i="3"/>
  <c r="D239" i="3" l="1"/>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AD247" i="3"/>
  <c r="U246" i="3" l="1"/>
  <c r="Y245" i="3"/>
  <c r="T247" i="3"/>
  <c r="AG247" i="3" s="1"/>
  <c r="AH247" i="3" l="1"/>
  <c r="D247" i="3"/>
  <c r="E247" i="3"/>
  <c r="H247" i="3" s="1"/>
  <c r="K247" i="3" s="1"/>
  <c r="AE247" i="3" s="1"/>
  <c r="F247" i="3" l="1"/>
  <c r="G247" i="3"/>
  <c r="M247" i="3" s="1"/>
  <c r="N247" i="3" s="1"/>
  <c r="V247" i="3"/>
  <c r="A248" i="3"/>
  <c r="B248" i="3" s="1"/>
  <c r="I247" i="3" l="1"/>
  <c r="W247" i="3" s="1"/>
  <c r="J247" i="3"/>
  <c r="L247" i="3" s="1"/>
  <c r="Z248" i="3"/>
  <c r="P248" i="3"/>
  <c r="Q248" i="3" s="1"/>
  <c r="R248" i="3" s="1"/>
  <c r="S248" i="3" s="1"/>
  <c r="AA248" i="3"/>
  <c r="AC248" i="3"/>
  <c r="AD248" i="3"/>
  <c r="U247" i="3" l="1"/>
  <c r="Y246" i="3"/>
  <c r="T248" i="3"/>
  <c r="AG248" i="3" s="1"/>
  <c r="E248" i="3" l="1"/>
  <c r="H248" i="3" s="1"/>
  <c r="K248" i="3" s="1"/>
  <c r="AE248" i="3" s="1"/>
  <c r="AH248" i="3"/>
  <c r="D248" i="3"/>
  <c r="G248" i="3" s="1"/>
  <c r="F248" i="3" l="1"/>
  <c r="I248" i="3"/>
  <c r="J248" i="3"/>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D257"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M257" i="3"/>
  <c r="N257" i="3" s="1"/>
  <c r="W257" i="3" l="1"/>
  <c r="L257" i="3"/>
  <c r="AC258" i="3"/>
  <c r="AD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AD267" i="3"/>
  <c r="T267" i="3" l="1"/>
  <c r="L266" i="3"/>
  <c r="AH267" i="3" l="1"/>
  <c r="AG267" i="3"/>
  <c r="U266" i="3"/>
  <c r="E267" i="3" s="1"/>
  <c r="H267" i="3" s="1"/>
  <c r="Y265" i="3"/>
  <c r="K267" i="3" l="1"/>
  <c r="AE267" i="3" s="1"/>
  <c r="D267" i="3"/>
  <c r="V267" i="3" l="1"/>
  <c r="A268" i="3"/>
  <c r="B268" i="3" s="1"/>
  <c r="F267" i="3"/>
  <c r="G267" i="3"/>
  <c r="I267" i="3" l="1"/>
  <c r="W267" i="3" s="1"/>
  <c r="J267" i="3"/>
  <c r="M267" i="3"/>
  <c r="N267" i="3" s="1"/>
  <c r="AC268" i="3"/>
  <c r="P268" i="3"/>
  <c r="Q268" i="3" s="1"/>
  <c r="R268" i="3" s="1"/>
  <c r="S268" i="3" s="1"/>
  <c r="Z268" i="3"/>
  <c r="AA268" i="3"/>
  <c r="AD268" i="3"/>
  <c r="T268" i="3" l="1"/>
  <c r="L267" i="3"/>
  <c r="U267" i="3" l="1"/>
  <c r="E268" i="3" s="1"/>
  <c r="H268" i="3" s="1"/>
  <c r="AH268" i="3"/>
  <c r="AG268" i="3"/>
  <c r="Y266" i="3"/>
  <c r="K268" i="3" l="1"/>
  <c r="AE268" i="3" s="1"/>
  <c r="D268" i="3"/>
  <c r="V268" i="3" l="1"/>
  <c r="A269" i="3"/>
  <c r="B269" i="3" s="1"/>
  <c r="F268" i="3"/>
  <c r="G268" i="3"/>
  <c r="I268" i="3" l="1"/>
  <c r="W268" i="3" s="1"/>
  <c r="J268" i="3"/>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D277" i="3"/>
  <c r="AA277" i="3"/>
  <c r="U276" i="3" l="1"/>
  <c r="Y275" i="3"/>
  <c r="T277" i="3"/>
  <c r="AG277" i="3" s="1"/>
  <c r="D277" i="3" l="1"/>
  <c r="G277" i="3" s="1"/>
  <c r="E277" i="3"/>
  <c r="H277" i="3" s="1"/>
  <c r="K277" i="3" s="1"/>
  <c r="AE277" i="3" s="1"/>
  <c r="AH277" i="3"/>
  <c r="F277" i="3" l="1"/>
  <c r="V277" i="3"/>
  <c r="A278" i="3"/>
  <c r="B278" i="3" s="1"/>
  <c r="I277" i="3"/>
  <c r="J277" i="3"/>
  <c r="M277" i="3"/>
  <c r="N277" i="3" s="1"/>
  <c r="W277" i="3" l="1"/>
  <c r="L277" i="3"/>
  <c r="AD278"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D287" i="3"/>
  <c r="AC287" i="3"/>
  <c r="T287" i="3" l="1"/>
  <c r="D287" i="3" s="1"/>
  <c r="G287" i="3" l="1"/>
  <c r="AH287" i="3"/>
  <c r="AG287" i="3"/>
  <c r="E287" i="3"/>
  <c r="H287" i="3" s="1"/>
  <c r="F287" i="3" l="1"/>
  <c r="K287" i="3"/>
  <c r="AE287" i="3" s="1"/>
  <c r="I287" i="3"/>
  <c r="J287" i="3"/>
  <c r="M287" i="3"/>
  <c r="N287" i="3" s="1"/>
  <c r="L287" i="3" l="1"/>
  <c r="V287" i="3"/>
  <c r="W287" i="3" s="1"/>
  <c r="A288" i="3"/>
  <c r="B288" i="3" s="1"/>
  <c r="U287" i="3" l="1"/>
  <c r="Y286" i="3"/>
  <c r="P288" i="3"/>
  <c r="Q288" i="3" s="1"/>
  <c r="R288" i="3" s="1"/>
  <c r="S288" i="3" s="1"/>
  <c r="AA288" i="3"/>
  <c r="AC288" i="3"/>
  <c r="AD288" i="3"/>
  <c r="Z288" i="3"/>
  <c r="T288" i="3" l="1"/>
  <c r="D288" i="3" s="1"/>
  <c r="AG288" i="3" l="1"/>
  <c r="AH288" i="3"/>
  <c r="E288" i="3"/>
  <c r="H288" i="3" s="1"/>
  <c r="K288" i="3" s="1"/>
  <c r="AE288" i="3" s="1"/>
  <c r="G288" i="3"/>
  <c r="F288" i="3" l="1"/>
  <c r="I288" i="3"/>
  <c r="J288" i="3"/>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AD297" i="3"/>
  <c r="T297" i="3" l="1"/>
  <c r="E297" i="3" s="1"/>
  <c r="H297" i="3" s="1"/>
  <c r="D297" i="3" l="1"/>
  <c r="F297" i="3" s="1"/>
  <c r="AG297" i="3"/>
  <c r="K297" i="3"/>
  <c r="AE297" i="3" s="1"/>
  <c r="AH297" i="3"/>
  <c r="G297" i="3" l="1"/>
  <c r="M297" i="3" s="1"/>
  <c r="N297" i="3" s="1"/>
  <c r="V297" i="3"/>
  <c r="A298" i="3"/>
  <c r="B298" i="3" s="1"/>
  <c r="J297" i="3" l="1"/>
  <c r="L297" i="3" s="1"/>
  <c r="I297" i="3"/>
  <c r="W297" i="3" s="1"/>
  <c r="Z298" i="3"/>
  <c r="AD298" i="3"/>
  <c r="P298" i="3"/>
  <c r="Q298" i="3" s="1"/>
  <c r="R298" i="3" s="1"/>
  <c r="S298" i="3" s="1"/>
  <c r="AA298" i="3"/>
  <c r="AC298" i="3"/>
  <c r="T298" i="3" l="1"/>
  <c r="U297" i="3"/>
  <c r="Y296" i="3"/>
  <c r="E298" i="3" l="1"/>
  <c r="H298" i="3" s="1"/>
  <c r="K298" i="3" s="1"/>
  <c r="AE298" i="3" s="1"/>
  <c r="AH298" i="3"/>
  <c r="D298" i="3"/>
  <c r="AG298" i="3"/>
  <c r="F298" i="3" l="1"/>
  <c r="G298" i="3"/>
  <c r="V298" i="3"/>
  <c r="A299" i="3"/>
  <c r="B299" i="3" s="1"/>
  <c r="I298" i="3" l="1"/>
  <c r="W298" i="3" s="1"/>
  <c r="J298" i="3"/>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AD307" i="3"/>
  <c r="T307" i="3" l="1"/>
  <c r="AH307" i="3" s="1"/>
  <c r="U306" i="3"/>
  <c r="Y305" i="3"/>
  <c r="D307" i="3" l="1"/>
  <c r="E307" i="3"/>
  <c r="H307" i="3" s="1"/>
  <c r="AG307" i="3"/>
  <c r="F307" i="3" l="1"/>
  <c r="G307" i="3"/>
  <c r="K307" i="3"/>
  <c r="AE307" i="3" s="1"/>
  <c r="I307" i="3" l="1"/>
  <c r="J307" i="3"/>
  <c r="M307" i="3"/>
  <c r="N307" i="3" s="1"/>
  <c r="V307" i="3"/>
  <c r="A308" i="3"/>
  <c r="B308" i="3" s="1"/>
  <c r="L307" i="3" l="1"/>
  <c r="Z308" i="3"/>
  <c r="AD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D317" i="3"/>
  <c r="AC317" i="3"/>
  <c r="T317" i="3" l="1"/>
  <c r="AG317" i="3" s="1"/>
  <c r="U316" i="3"/>
  <c r="Y315" i="3"/>
  <c r="E317" i="3" l="1"/>
  <c r="H317" i="3" s="1"/>
  <c r="K317" i="3" s="1"/>
  <c r="AE317" i="3" s="1"/>
  <c r="D317" i="3"/>
  <c r="AH317" i="3"/>
  <c r="V317" i="3" l="1"/>
  <c r="A318" i="3"/>
  <c r="B318" i="3" s="1"/>
  <c r="F317" i="3"/>
  <c r="G317" i="3"/>
  <c r="I317" i="3" l="1"/>
  <c r="W317" i="3" s="1"/>
  <c r="J317" i="3"/>
  <c r="M317" i="3"/>
  <c r="N317" i="3" s="1"/>
  <c r="AA318" i="3"/>
  <c r="P318" i="3"/>
  <c r="Q318" i="3" s="1"/>
  <c r="R318" i="3" s="1"/>
  <c r="S318" i="3" s="1"/>
  <c r="Z318" i="3"/>
  <c r="AC318" i="3"/>
  <c r="AD318" i="3"/>
  <c r="T318" i="3" l="1"/>
  <c r="L317" i="3"/>
  <c r="AH318" i="3" l="1"/>
  <c r="AG318" i="3"/>
  <c r="U317" i="3"/>
  <c r="E318" i="3" s="1"/>
  <c r="H318" i="3" s="1"/>
  <c r="Y316" i="3"/>
  <c r="K318" i="3" l="1"/>
  <c r="AE318" i="3" s="1"/>
  <c r="D318" i="3"/>
  <c r="V318" i="3" l="1"/>
  <c r="A319" i="3"/>
  <c r="B319" i="3" s="1"/>
  <c r="F318" i="3"/>
  <c r="G318" i="3"/>
  <c r="I318" i="3" l="1"/>
  <c r="W318" i="3" s="1"/>
  <c r="J318" i="3"/>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D345" i="3"/>
  <c r="AA345" i="3"/>
  <c r="L344" i="3"/>
  <c r="T345" i="3" l="1"/>
  <c r="U344" i="3"/>
  <c r="Y343" i="3"/>
  <c r="E345" i="3" l="1"/>
  <c r="H345" i="3" s="1"/>
  <c r="K345" i="3" s="1"/>
  <c r="AE345" i="3" s="1"/>
  <c r="AH345" i="3"/>
  <c r="D345" i="3"/>
  <c r="AG345" i="3"/>
  <c r="F345" i="3" l="1"/>
  <c r="G345" i="3"/>
  <c r="V345" i="3"/>
  <c r="A346" i="3"/>
  <c r="B346" i="3" s="1"/>
  <c r="AD346" i="3" l="1"/>
  <c r="AC346" i="3"/>
  <c r="P346" i="3"/>
  <c r="Q346" i="3" s="1"/>
  <c r="R346" i="3" s="1"/>
  <c r="S346" i="3" s="1"/>
  <c r="AA346" i="3"/>
  <c r="Z346" i="3"/>
  <c r="I345" i="3"/>
  <c r="W345" i="3" s="1"/>
  <c r="J345" i="3"/>
  <c r="M345" i="3"/>
  <c r="N345" i="3" s="1"/>
  <c r="L345" i="3" l="1"/>
  <c r="T346" i="3"/>
  <c r="AH346" i="3" l="1"/>
  <c r="AG346" i="3"/>
  <c r="U345" i="3"/>
  <c r="D346" i="3" s="1"/>
  <c r="Y344" i="3"/>
  <c r="G346" i="3" l="1"/>
  <c r="E346" i="3"/>
  <c r="H346" i="3" s="1"/>
  <c r="F346" i="3" l="1"/>
  <c r="I346" i="3"/>
  <c r="J346" i="3"/>
  <c r="M346" i="3"/>
  <c r="N346" i="3" s="1"/>
  <c r="K346" i="3"/>
  <c r="AE346" i="3" s="1"/>
  <c r="V346" i="3" l="1"/>
  <c r="W346" i="3" s="1"/>
  <c r="A347" i="3"/>
  <c r="B347" i="3" s="1"/>
  <c r="L346" i="3"/>
  <c r="U346" i="3" l="1"/>
  <c r="Y345" i="3"/>
  <c r="AC347" i="3"/>
  <c r="Z347" i="3"/>
  <c r="AA347" i="3"/>
  <c r="P347" i="3"/>
  <c r="Q347" i="3" s="1"/>
  <c r="R347" i="3" s="1"/>
  <c r="S347" i="3" s="1"/>
  <c r="AD347" i="3"/>
  <c r="T347" i="3" l="1"/>
  <c r="E347" i="3" s="1"/>
  <c r="H347" i="3" s="1"/>
  <c r="K347" i="3" l="1"/>
  <c r="AE347" i="3" s="1"/>
  <c r="AH347" i="3"/>
  <c r="AG347" i="3"/>
  <c r="D347" i="3"/>
  <c r="F347" i="3" l="1"/>
  <c r="G347" i="3"/>
  <c r="V347" i="3"/>
  <c r="A348" i="3"/>
  <c r="B348" i="3" s="1"/>
  <c r="I347" i="3" l="1"/>
  <c r="W347" i="3" s="1"/>
  <c r="J347" i="3"/>
  <c r="M347" i="3"/>
  <c r="N347" i="3" s="1"/>
  <c r="AC348" i="3"/>
  <c r="AA348" i="3"/>
  <c r="P348" i="3"/>
  <c r="Q348" i="3" s="1"/>
  <c r="R348" i="3" s="1"/>
  <c r="S348" i="3" s="1"/>
  <c r="AD348" i="3"/>
  <c r="Z348" i="3"/>
  <c r="L347" i="3" l="1"/>
  <c r="T348" i="3"/>
  <c r="U347" i="3" l="1"/>
  <c r="D348" i="3" s="1"/>
  <c r="AH348" i="3"/>
  <c r="AG348" i="3"/>
  <c r="Y346" i="3"/>
  <c r="E348" i="3" l="1"/>
  <c r="H348" i="3" s="1"/>
  <c r="K348" i="3" s="1"/>
  <c r="AE348" i="3" s="1"/>
  <c r="G348" i="3"/>
  <c r="F348" i="3" l="1"/>
  <c r="I348" i="3"/>
  <c r="J348" i="3"/>
  <c r="M348" i="3"/>
  <c r="N348" i="3" s="1"/>
  <c r="V348" i="3"/>
  <c r="A349" i="3"/>
  <c r="B349" i="3" s="1"/>
  <c r="W348" i="3" l="1"/>
  <c r="L348" i="3"/>
  <c r="AC349" i="3"/>
  <c r="P349" i="3"/>
  <c r="Q349" i="3" s="1"/>
  <c r="R349" i="3" s="1"/>
  <c r="S349" i="3" s="1"/>
  <c r="AA349" i="3"/>
  <c r="Z349" i="3"/>
  <c r="AD349" i="3"/>
  <c r="U348" i="3" l="1"/>
  <c r="Y347" i="3"/>
  <c r="T349" i="3"/>
  <c r="AG349" i="3" s="1"/>
  <c r="E349" i="3" l="1"/>
  <c r="H349" i="3" s="1"/>
  <c r="K349" i="3" s="1"/>
  <c r="AE349" i="3" s="1"/>
  <c r="D349" i="3"/>
  <c r="AH349" i="3"/>
  <c r="V349" i="3" l="1"/>
  <c r="A350" i="3"/>
  <c r="B350" i="3" s="1"/>
  <c r="F349" i="3"/>
  <c r="G349" i="3"/>
  <c r="I349" i="3" l="1"/>
  <c r="W349" i="3" s="1"/>
  <c r="J349" i="3"/>
  <c r="M349" i="3"/>
  <c r="N349" i="3" s="1"/>
  <c r="AD350" i="3"/>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M350" i="3"/>
  <c r="N350" i="3" s="1"/>
  <c r="W350" i="3" l="1"/>
  <c r="L350" i="3"/>
  <c r="AA351" i="3"/>
  <c r="P351" i="3"/>
  <c r="Q351" i="3" s="1"/>
  <c r="R351" i="3" s="1"/>
  <c r="S351" i="3" s="1"/>
  <c r="Z351" i="3"/>
  <c r="AC351" i="3"/>
  <c r="AD351" i="3"/>
  <c r="U350" i="3" l="1"/>
  <c r="Y349" i="3"/>
  <c r="T351" i="3"/>
  <c r="D351" i="3" l="1"/>
  <c r="G351" i="3" s="1"/>
  <c r="AH351" i="3"/>
  <c r="E351" i="3"/>
  <c r="H351" i="3" s="1"/>
  <c r="K351" i="3" s="1"/>
  <c r="AE351" i="3" s="1"/>
  <c r="AG351" i="3"/>
  <c r="F351" i="3" l="1"/>
  <c r="V351" i="3"/>
  <c r="A352" i="3"/>
  <c r="B352" i="3" s="1"/>
  <c r="I351" i="3"/>
  <c r="J351" i="3"/>
  <c r="M351" i="3"/>
  <c r="N351" i="3" s="1"/>
  <c r="L351" i="3" l="1"/>
  <c r="W351" i="3"/>
  <c r="AC352" i="3"/>
  <c r="AD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D353" i="3"/>
  <c r="AA353" i="3"/>
  <c r="P353" i="3"/>
  <c r="Q353" i="3" s="1"/>
  <c r="R353" i="3" s="1"/>
  <c r="S353" i="3" s="1"/>
  <c r="Z353" i="3"/>
  <c r="I352" i="3"/>
  <c r="W352" i="3" s="1"/>
  <c r="J352" i="3"/>
  <c r="M352" i="3"/>
  <c r="N352" i="3" s="1"/>
  <c r="T353" i="3" l="1"/>
  <c r="L352" i="3"/>
  <c r="U352" i="3" l="1"/>
  <c r="D353" i="3" s="1"/>
  <c r="AH353" i="3"/>
  <c r="AG353" i="3"/>
  <c r="Y351" i="3"/>
  <c r="E353" i="3" l="1"/>
  <c r="H353" i="3" s="1"/>
  <c r="K353" i="3" s="1"/>
  <c r="AE353" i="3" s="1"/>
  <c r="G353" i="3"/>
  <c r="F353" i="3" l="1"/>
  <c r="I353" i="3"/>
  <c r="J353" i="3"/>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D367" i="3"/>
  <c r="AA367" i="3"/>
  <c r="T367" i="3" l="1"/>
  <c r="AG367" i="3" s="1"/>
  <c r="U366" i="3"/>
  <c r="Y365" i="3"/>
  <c r="D367" i="3" l="1"/>
  <c r="AH367" i="3"/>
  <c r="E367" i="3"/>
  <c r="H367" i="3" s="1"/>
  <c r="F367" i="3" l="1"/>
  <c r="G367" i="3"/>
  <c r="K367" i="3"/>
  <c r="AE367" i="3" s="1"/>
  <c r="I367" i="3" l="1"/>
  <c r="J367" i="3"/>
  <c r="M367" i="3"/>
  <c r="N367" i="3" s="1"/>
  <c r="V367" i="3"/>
  <c r="A368" i="3"/>
  <c r="B368" i="3" s="1"/>
  <c r="L367" i="3" l="1"/>
  <c r="W367" i="3"/>
  <c r="Z368" i="3"/>
  <c r="P368" i="3"/>
  <c r="Q368" i="3" s="1"/>
  <c r="R368" i="3" s="1"/>
  <c r="S368" i="3" s="1"/>
  <c r="AD368" i="3"/>
  <c r="AC368" i="3"/>
  <c r="AA368" i="3"/>
  <c r="T368" i="3" l="1"/>
  <c r="AH368" i="3" s="1"/>
  <c r="U367" i="3"/>
  <c r="Y366" i="3"/>
  <c r="E368" i="3" l="1"/>
  <c r="H368" i="3" s="1"/>
  <c r="K368" i="3" s="1"/>
  <c r="AE368" i="3" s="1"/>
  <c r="D368" i="3"/>
  <c r="AG368" i="3"/>
  <c r="V368" i="3" l="1"/>
  <c r="A369" i="3"/>
  <c r="B369" i="3" s="1"/>
  <c r="F368" i="3"/>
  <c r="G368" i="3"/>
  <c r="I368" i="3" l="1"/>
  <c r="W368" i="3" s="1"/>
  <c r="J368" i="3"/>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AD377" i="3"/>
  <c r="Z377" i="3"/>
  <c r="U376" i="3"/>
  <c r="Y375" i="3"/>
  <c r="T377" i="3" l="1"/>
  <c r="AH377" i="3" s="1"/>
  <c r="E377" i="3" l="1"/>
  <c r="H377" i="3" s="1"/>
  <c r="K377" i="3" s="1"/>
  <c r="AE377" i="3" s="1"/>
  <c r="D377" i="3"/>
  <c r="AG377" i="3"/>
  <c r="F377" i="3" l="1"/>
  <c r="G377" i="3"/>
  <c r="M377" i="3" s="1"/>
  <c r="N377" i="3" s="1"/>
  <c r="V377" i="3"/>
  <c r="A378" i="3"/>
  <c r="B378" i="3" s="1"/>
  <c r="I377" i="3" l="1"/>
  <c r="W377" i="3" s="1"/>
  <c r="J377" i="3"/>
  <c r="L377" i="3" s="1"/>
  <c r="AD378" i="3"/>
  <c r="Z378" i="3"/>
  <c r="AC378" i="3"/>
  <c r="P378" i="3"/>
  <c r="Q378" i="3" s="1"/>
  <c r="R378" i="3" s="1"/>
  <c r="S378" i="3" s="1"/>
  <c r="AA378" i="3"/>
  <c r="U377" i="3" l="1"/>
  <c r="Y376" i="3"/>
  <c r="T378" i="3"/>
  <c r="D378" i="3" l="1"/>
  <c r="G378" i="3" s="1"/>
  <c r="AG378" i="3"/>
  <c r="E378" i="3"/>
  <c r="H378" i="3" s="1"/>
  <c r="K378" i="3" s="1"/>
  <c r="AE378" i="3" s="1"/>
  <c r="AH378" i="3"/>
  <c r="F378" i="3" l="1"/>
  <c r="V378" i="3"/>
  <c r="A379" i="3"/>
  <c r="B379" i="3" s="1"/>
  <c r="I378" i="3"/>
  <c r="J378" i="3"/>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D387" i="3"/>
  <c r="AA387" i="3"/>
  <c r="P387" i="3"/>
  <c r="Q387" i="3" s="1"/>
  <c r="R387" i="3" s="1"/>
  <c r="S387" i="3" s="1"/>
  <c r="AC387" i="3"/>
  <c r="Z387" i="3"/>
  <c r="U386" i="3" l="1"/>
  <c r="Y385" i="3"/>
  <c r="T387" i="3"/>
  <c r="AG387" i="3" s="1"/>
  <c r="AH387" i="3" l="1"/>
  <c r="D387" i="3"/>
  <c r="G387" i="3" s="1"/>
  <c r="E387" i="3"/>
  <c r="H387" i="3" s="1"/>
  <c r="F387" i="3" l="1"/>
  <c r="I387" i="3"/>
  <c r="J387" i="3"/>
  <c r="M387" i="3"/>
  <c r="N387" i="3" s="1"/>
  <c r="K387" i="3"/>
  <c r="AE387" i="3" s="1"/>
  <c r="V387" i="3" l="1"/>
  <c r="W387" i="3" s="1"/>
  <c r="A388" i="3"/>
  <c r="B388" i="3" s="1"/>
  <c r="L387" i="3"/>
  <c r="U387" i="3" l="1"/>
  <c r="Y386" i="3"/>
  <c r="AA388" i="3"/>
  <c r="Z388" i="3"/>
  <c r="P388" i="3"/>
  <c r="Q388" i="3" s="1"/>
  <c r="R388" i="3" s="1"/>
  <c r="S388" i="3" s="1"/>
  <c r="AD388" i="3"/>
  <c r="AC388" i="3"/>
  <c r="T388" i="3" l="1"/>
  <c r="E388" i="3" s="1"/>
  <c r="H388" i="3" s="1"/>
  <c r="K388" i="3" l="1"/>
  <c r="AE388" i="3" s="1"/>
  <c r="D388" i="3"/>
  <c r="AG388" i="3"/>
  <c r="AH388" i="3"/>
  <c r="V388" i="3" l="1"/>
  <c r="A389" i="3"/>
  <c r="B389" i="3" s="1"/>
  <c r="F388" i="3"/>
  <c r="G388" i="3"/>
  <c r="I388" i="3" l="1"/>
  <c r="W388" i="3" s="1"/>
  <c r="J388" i="3"/>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AD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L397" i="3" s="1"/>
  <c r="AD398" i="3"/>
  <c r="AC398" i="3"/>
  <c r="AA398" i="3"/>
  <c r="P398" i="3"/>
  <c r="Q398" i="3" s="1"/>
  <c r="R398" i="3" s="1"/>
  <c r="S398" i="3" s="1"/>
  <c r="Z398" i="3"/>
  <c r="T398" i="3" l="1"/>
  <c r="U397" i="3"/>
  <c r="Y396" i="3"/>
  <c r="E398" i="3" l="1"/>
  <c r="H398" i="3" s="1"/>
  <c r="K398" i="3" s="1"/>
  <c r="AE398" i="3" s="1"/>
  <c r="D398" i="3"/>
  <c r="G398" i="3" s="1"/>
  <c r="AH398" i="3"/>
  <c r="AG398" i="3"/>
  <c r="F398" i="3" l="1"/>
  <c r="V398" i="3"/>
  <c r="A399" i="3"/>
  <c r="B399" i="3" s="1"/>
  <c r="I398" i="3"/>
  <c r="J398" i="3"/>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D407" i="3"/>
  <c r="AA407" i="3"/>
  <c r="L406" i="3" l="1"/>
  <c r="T407" i="3"/>
  <c r="U406" i="3" l="1"/>
  <c r="D407" i="3" s="1"/>
  <c r="AG407" i="3"/>
  <c r="AH407" i="3"/>
  <c r="Y405" i="3"/>
  <c r="G407" i="3" l="1"/>
  <c r="E407" i="3"/>
  <c r="H407" i="3" s="1"/>
  <c r="F407" i="3" l="1"/>
  <c r="I407" i="3"/>
  <c r="J407" i="3"/>
  <c r="M407" i="3"/>
  <c r="N407" i="3" s="1"/>
  <c r="K407" i="3"/>
  <c r="AE407" i="3" s="1"/>
  <c r="V407" i="3" l="1"/>
  <c r="W407" i="3" s="1"/>
  <c r="A408" i="3"/>
  <c r="B408" i="3" s="1"/>
  <c r="L407" i="3"/>
  <c r="U407" i="3" l="1"/>
  <c r="Y406" i="3"/>
  <c r="Z408" i="3"/>
  <c r="AC408" i="3"/>
  <c r="AD408" i="3"/>
  <c r="P408" i="3"/>
  <c r="Q408" i="3" s="1"/>
  <c r="R408" i="3" s="1"/>
  <c r="S408" i="3" s="1"/>
  <c r="AA408" i="3"/>
  <c r="T408" i="3" l="1"/>
  <c r="AH408" i="3" s="1"/>
  <c r="E408" i="3" l="1"/>
  <c r="H408" i="3" s="1"/>
  <c r="K408" i="3" s="1"/>
  <c r="AE408" i="3" s="1"/>
  <c r="D408" i="3"/>
  <c r="G408" i="3" s="1"/>
  <c r="AG408" i="3"/>
  <c r="F408" i="3" l="1"/>
  <c r="I408" i="3"/>
  <c r="J408" i="3"/>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AD425" i="3"/>
  <c r="U424" i="3" l="1"/>
  <c r="Y423" i="3"/>
  <c r="T425" i="3"/>
  <c r="E425" i="3" l="1"/>
  <c r="H425" i="3" s="1"/>
  <c r="K425" i="3" s="1"/>
  <c r="AE425" i="3" s="1"/>
  <c r="D425" i="3"/>
  <c r="G425" i="3" s="1"/>
  <c r="AH425" i="3"/>
  <c r="AG425" i="3"/>
  <c r="F425" i="3" l="1"/>
  <c r="I425" i="3"/>
  <c r="J425" i="3"/>
  <c r="M425" i="3"/>
  <c r="N425" i="3" s="1"/>
  <c r="V425" i="3"/>
  <c r="A426" i="3"/>
  <c r="B426" i="3" s="1"/>
  <c r="L425" i="3" l="1"/>
  <c r="W425" i="3"/>
  <c r="P426" i="3"/>
  <c r="Q426" i="3" s="1"/>
  <c r="R426" i="3" s="1"/>
  <c r="S426" i="3" s="1"/>
  <c r="AA426" i="3"/>
  <c r="AD426" i="3"/>
  <c r="Z426" i="3"/>
  <c r="AC426" i="3"/>
  <c r="U425" i="3" l="1"/>
  <c r="Y424" i="3"/>
  <c r="T426" i="3"/>
  <c r="AH426" i="3" s="1"/>
  <c r="E426" i="3" l="1"/>
  <c r="H426" i="3" s="1"/>
  <c r="D426" i="3"/>
  <c r="AG426" i="3"/>
  <c r="K426" i="3" l="1"/>
  <c r="AE426" i="3" s="1"/>
  <c r="F426" i="3"/>
  <c r="G426" i="3"/>
  <c r="V426" i="3" l="1"/>
  <c r="A427" i="3"/>
  <c r="B427" i="3" s="1"/>
  <c r="I426" i="3"/>
  <c r="J426" i="3"/>
  <c r="M426" i="3"/>
  <c r="N426" i="3" s="1"/>
  <c r="W426" i="3" l="1"/>
  <c r="L426" i="3"/>
  <c r="P427" i="3"/>
  <c r="Q427" i="3" s="1"/>
  <c r="R427" i="3" s="1"/>
  <c r="S427" i="3" s="1"/>
  <c r="AC427" i="3"/>
  <c r="AD427" i="3"/>
  <c r="Z427" i="3"/>
  <c r="AA427" i="3"/>
  <c r="U426" i="3" l="1"/>
  <c r="Y425" i="3"/>
  <c r="T427" i="3"/>
  <c r="AG427" i="3" s="1"/>
  <c r="D427" i="3" l="1"/>
  <c r="G427" i="3" s="1"/>
  <c r="E427" i="3"/>
  <c r="H427" i="3" s="1"/>
  <c r="K427" i="3" s="1"/>
  <c r="AE427" i="3" s="1"/>
  <c r="AH427" i="3"/>
  <c r="F427" i="3" l="1"/>
  <c r="I427" i="3"/>
  <c r="J427" i="3"/>
  <c r="M427" i="3"/>
  <c r="N427" i="3" s="1"/>
  <c r="V427" i="3"/>
  <c r="A428" i="3"/>
  <c r="B428" i="3" s="1"/>
  <c r="W427" i="3" l="1"/>
  <c r="L427" i="3"/>
  <c r="P428" i="3"/>
  <c r="Q428" i="3" s="1"/>
  <c r="R428" i="3" s="1"/>
  <c r="S428" i="3" s="1"/>
  <c r="AC428" i="3"/>
  <c r="Z428" i="3"/>
  <c r="AA428" i="3"/>
  <c r="AD428" i="3"/>
  <c r="U427" i="3" l="1"/>
  <c r="Y426" i="3"/>
  <c r="T428" i="3"/>
  <c r="AG428" i="3" s="1"/>
  <c r="E428" i="3" l="1"/>
  <c r="H428" i="3" s="1"/>
  <c r="AH428" i="3"/>
  <c r="D428" i="3"/>
  <c r="K428" i="3" l="1"/>
  <c r="AE428" i="3" s="1"/>
  <c r="F428" i="3"/>
  <c r="G428" i="3"/>
  <c r="I428" i="3" l="1"/>
  <c r="J428" i="3"/>
  <c r="M428" i="3"/>
  <c r="N428" i="3" s="1"/>
  <c r="V428" i="3"/>
  <c r="A429" i="3"/>
  <c r="B429" i="3" s="1"/>
  <c r="W428" i="3" l="1"/>
  <c r="AD429" i="3"/>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M429" i="3"/>
  <c r="N429" i="3" s="1"/>
  <c r="V429" i="3"/>
  <c r="A430" i="3"/>
  <c r="B430" i="3" s="1"/>
  <c r="L429" i="3" l="1"/>
  <c r="W429" i="3"/>
  <c r="AA430" i="3"/>
  <c r="Z430" i="3"/>
  <c r="P430" i="3"/>
  <c r="Q430" i="3" s="1"/>
  <c r="R430" i="3" s="1"/>
  <c r="S430" i="3" s="1"/>
  <c r="AC430" i="3"/>
  <c r="AD430" i="3"/>
  <c r="U429" i="3" l="1"/>
  <c r="Y428" i="3"/>
  <c r="T430" i="3"/>
  <c r="D430" i="3" l="1"/>
  <c r="G430" i="3" s="1"/>
  <c r="AH430" i="3"/>
  <c r="E430" i="3"/>
  <c r="H430" i="3" s="1"/>
  <c r="AG430" i="3"/>
  <c r="F430" i="3" l="1"/>
  <c r="I430" i="3"/>
  <c r="J430" i="3"/>
  <c r="M430" i="3"/>
  <c r="N430" i="3" s="1"/>
  <c r="K430" i="3"/>
  <c r="AE430" i="3" s="1"/>
  <c r="V430" i="3" l="1"/>
  <c r="W430" i="3" s="1"/>
  <c r="A431" i="3"/>
  <c r="B431" i="3" s="1"/>
  <c r="L430" i="3"/>
  <c r="U430" i="3" l="1"/>
  <c r="Y429" i="3"/>
  <c r="AC431" i="3"/>
  <c r="Z431" i="3"/>
  <c r="P431" i="3"/>
  <c r="Q431" i="3" s="1"/>
  <c r="R431" i="3" s="1"/>
  <c r="S431" i="3" s="1"/>
  <c r="AA431" i="3"/>
  <c r="AD431" i="3"/>
  <c r="T431" i="3" l="1"/>
  <c r="AH431" i="3" s="1"/>
  <c r="E431" i="3" l="1"/>
  <c r="H431" i="3" s="1"/>
  <c r="AG431" i="3"/>
  <c r="D431" i="3"/>
  <c r="K431" i="3" l="1"/>
  <c r="AE431" i="3" s="1"/>
  <c r="F431" i="3"/>
  <c r="G431" i="3"/>
  <c r="V431" i="3" l="1"/>
  <c r="A432" i="3"/>
  <c r="B432" i="3" s="1"/>
  <c r="I431" i="3"/>
  <c r="J431" i="3"/>
  <c r="M431" i="3"/>
  <c r="N431" i="3" s="1"/>
  <c r="W431" i="3" l="1"/>
  <c r="L431" i="3"/>
  <c r="AA432" i="3"/>
  <c r="P432" i="3"/>
  <c r="Q432" i="3" s="1"/>
  <c r="R432" i="3" s="1"/>
  <c r="S432" i="3" s="1"/>
  <c r="AC432" i="3"/>
  <c r="Z432" i="3"/>
  <c r="AD432" i="3"/>
  <c r="T432" i="3" l="1"/>
  <c r="AH432" i="3" s="1"/>
  <c r="U431" i="3"/>
  <c r="Y430" i="3"/>
  <c r="AG432" i="3" l="1"/>
  <c r="E432" i="3"/>
  <c r="H432" i="3" s="1"/>
  <c r="D432" i="3"/>
  <c r="K432" i="3" l="1"/>
  <c r="AE432" i="3" s="1"/>
  <c r="F432" i="3"/>
  <c r="G432" i="3"/>
  <c r="I432" i="3" l="1"/>
  <c r="J432" i="3"/>
  <c r="M432" i="3"/>
  <c r="N432" i="3" s="1"/>
  <c r="V432" i="3"/>
  <c r="A433" i="3"/>
  <c r="B433" i="3" s="1"/>
  <c r="W432" i="3" l="1"/>
  <c r="L432" i="3"/>
  <c r="P433" i="3"/>
  <c r="Q433" i="3" s="1"/>
  <c r="R433" i="3" s="1"/>
  <c r="S433" i="3" s="1"/>
  <c r="AC433" i="3"/>
  <c r="Z433" i="3"/>
  <c r="AA433" i="3"/>
  <c r="AD433" i="3"/>
  <c r="U432" i="3" l="1"/>
  <c r="Y431" i="3"/>
  <c r="T433" i="3"/>
  <c r="E433" i="3" l="1"/>
  <c r="H433" i="3" s="1"/>
  <c r="K433" i="3" s="1"/>
  <c r="AE433" i="3" s="1"/>
  <c r="D433" i="3"/>
  <c r="AG433" i="3"/>
  <c r="AH433" i="3"/>
  <c r="F433" i="3" l="1"/>
  <c r="G433" i="3"/>
  <c r="M433" i="3" s="1"/>
  <c r="N433" i="3" s="1"/>
  <c r="V433" i="3"/>
  <c r="A434" i="3"/>
  <c r="B434" i="3" s="1"/>
  <c r="I433" i="3" l="1"/>
  <c r="W433" i="3" s="1"/>
  <c r="J433" i="3"/>
  <c r="L433" i="3" s="1"/>
  <c r="P434" i="3"/>
  <c r="Q434" i="3" s="1"/>
  <c r="R434" i="3" s="1"/>
  <c r="S434" i="3" s="1"/>
  <c r="Z434" i="3"/>
  <c r="AA434" i="3"/>
  <c r="AC434" i="3"/>
  <c r="U433" i="3" l="1"/>
  <c r="Y432" i="3"/>
  <c r="T434" i="3"/>
  <c r="AH434" i="3" s="1"/>
  <c r="E434" i="3" l="1"/>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AD437" i="3"/>
  <c r="Z437" i="3"/>
  <c r="U436" i="3" l="1"/>
  <c r="Y435" i="3"/>
  <c r="T437" i="3"/>
  <c r="AH437" i="3" s="1"/>
  <c r="D437" i="3" l="1"/>
  <c r="G437" i="3" s="1"/>
  <c r="E437" i="3"/>
  <c r="H437" i="3" s="1"/>
  <c r="K437" i="3" s="1"/>
  <c r="AE437" i="3" s="1"/>
  <c r="AG437" i="3"/>
  <c r="F437" i="3" l="1"/>
  <c r="I437" i="3"/>
  <c r="J437" i="3"/>
  <c r="M437" i="3"/>
  <c r="N437" i="3" s="1"/>
  <c r="V437" i="3"/>
  <c r="A438" i="3"/>
  <c r="B438" i="3" s="1"/>
  <c r="W437" i="3" l="1"/>
  <c r="L437" i="3"/>
  <c r="Z438" i="3"/>
  <c r="P438" i="3"/>
  <c r="Q438" i="3" s="1"/>
  <c r="R438" i="3" s="1"/>
  <c r="S438" i="3" s="1"/>
  <c r="AC438" i="3"/>
  <c r="AD438" i="3"/>
  <c r="AA438" i="3"/>
  <c r="U437" i="3" l="1"/>
  <c r="Y436" i="3"/>
  <c r="T438" i="3"/>
  <c r="E438" i="3" l="1"/>
  <c r="H438" i="3" s="1"/>
  <c r="K438" i="3" s="1"/>
  <c r="AE438" i="3" s="1"/>
  <c r="D438" i="3"/>
  <c r="AH438" i="3"/>
  <c r="AG438" i="3"/>
  <c r="V438" i="3" l="1"/>
  <c r="A439" i="3"/>
  <c r="B439" i="3" s="1"/>
  <c r="F438" i="3"/>
  <c r="G438" i="3"/>
  <c r="I438" i="3" l="1"/>
  <c r="W438" i="3" s="1"/>
  <c r="J438" i="3"/>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AD447" i="3"/>
  <c r="U446" i="3"/>
  <c r="Y445" i="3"/>
  <c r="T447" i="3" l="1"/>
  <c r="AG447" i="3" s="1"/>
  <c r="D447" i="3" l="1"/>
  <c r="G447" i="3" s="1"/>
  <c r="AH447" i="3"/>
  <c r="E447" i="3"/>
  <c r="H447" i="3" s="1"/>
  <c r="K447" i="3" s="1"/>
  <c r="AE447" i="3" s="1"/>
  <c r="F447" i="3" l="1"/>
  <c r="I447" i="3"/>
  <c r="J447" i="3"/>
  <c r="M447" i="3"/>
  <c r="N447" i="3" s="1"/>
  <c r="V447" i="3"/>
  <c r="A448" i="3"/>
  <c r="B448" i="3" s="1"/>
  <c r="W447" i="3" l="1"/>
  <c r="L447" i="3"/>
  <c r="AD448" i="3"/>
  <c r="Z448" i="3"/>
  <c r="AA448" i="3"/>
  <c r="P448" i="3"/>
  <c r="Q448" i="3" s="1"/>
  <c r="R448" i="3" s="1"/>
  <c r="S448" i="3" s="1"/>
  <c r="AC448" i="3"/>
  <c r="T448" i="3" l="1"/>
  <c r="AG448" i="3" s="1"/>
  <c r="U447" i="3"/>
  <c r="Y446" i="3"/>
  <c r="D448" i="3" l="1"/>
  <c r="G448" i="3" s="1"/>
  <c r="E448" i="3"/>
  <c r="H448" i="3" s="1"/>
  <c r="AH448" i="3"/>
  <c r="F448" i="3" l="1"/>
  <c r="I448" i="3"/>
  <c r="J448" i="3"/>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D457" i="3"/>
  <c r="AA457" i="3"/>
  <c r="U456" i="3"/>
  <c r="Y455" i="3"/>
  <c r="T457" i="3" l="1"/>
  <c r="D457" i="3" l="1"/>
  <c r="AH457" i="3"/>
  <c r="E457" i="3"/>
  <c r="H457" i="3" s="1"/>
  <c r="AG457" i="3"/>
  <c r="F457" i="3" l="1"/>
  <c r="G457" i="3"/>
  <c r="K457" i="3"/>
  <c r="AE457" i="3" s="1"/>
  <c r="I457" i="3" l="1"/>
  <c r="J457" i="3"/>
  <c r="M457" i="3"/>
  <c r="N457" i="3" s="1"/>
  <c r="V457" i="3"/>
  <c r="A458" i="3"/>
  <c r="B458" i="3" s="1"/>
  <c r="L457" i="3" l="1"/>
  <c r="W457" i="3"/>
  <c r="P458" i="3"/>
  <c r="Q458" i="3" s="1"/>
  <c r="R458" i="3" s="1"/>
  <c r="S458" i="3" s="1"/>
  <c r="AC458" i="3"/>
  <c r="Z458" i="3"/>
  <c r="AD458" i="3"/>
  <c r="AA458" i="3"/>
  <c r="U457" i="3" l="1"/>
  <c r="Y456" i="3"/>
  <c r="T458" i="3"/>
  <c r="AH458" i="3" s="1"/>
  <c r="AG458" i="3" l="1"/>
  <c r="E458" i="3"/>
  <c r="H458" i="3" s="1"/>
  <c r="D458" i="3"/>
  <c r="K458" i="3" l="1"/>
  <c r="AE458" i="3" s="1"/>
  <c r="F458" i="3"/>
  <c r="G458" i="3"/>
  <c r="V458" i="3" l="1"/>
  <c r="A459" i="3"/>
  <c r="B459" i="3" s="1"/>
  <c r="I458" i="3"/>
  <c r="J458" i="3"/>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AD465" i="3"/>
  <c r="T465" i="3" l="1"/>
  <c r="AH465" i="3" s="1"/>
  <c r="U464" i="3"/>
  <c r="Y463" i="3"/>
  <c r="D465" i="3" l="1"/>
  <c r="G465" i="3" s="1"/>
  <c r="E465" i="3"/>
  <c r="H465" i="3" s="1"/>
  <c r="AG465" i="3"/>
  <c r="F465" i="3" l="1"/>
  <c r="I465" i="3"/>
  <c r="J465" i="3"/>
  <c r="M465" i="3"/>
  <c r="N465" i="3" s="1"/>
  <c r="K465" i="3"/>
  <c r="AE465" i="3" s="1"/>
  <c r="V465" i="3" l="1"/>
  <c r="W465" i="3" s="1"/>
  <c r="A466" i="3"/>
  <c r="B466" i="3" s="1"/>
  <c r="L465" i="3"/>
  <c r="U465" i="3" l="1"/>
  <c r="Y464" i="3"/>
  <c r="AA466" i="3"/>
  <c r="AD466" i="3"/>
  <c r="AC466" i="3"/>
  <c r="Z466" i="3"/>
  <c r="P466" i="3"/>
  <c r="Q466" i="3" s="1"/>
  <c r="R466" i="3" s="1"/>
  <c r="S466" i="3" s="1"/>
  <c r="T466" i="3" l="1"/>
  <c r="AH466" i="3" s="1"/>
  <c r="AG466" i="3" l="1"/>
  <c r="E466" i="3"/>
  <c r="H466" i="3" s="1"/>
  <c r="K466" i="3" s="1"/>
  <c r="AE466" i="3" s="1"/>
  <c r="D466" i="3"/>
  <c r="G466" i="3" s="1"/>
  <c r="F466" i="3" l="1"/>
  <c r="I466" i="3"/>
  <c r="J466" i="3"/>
  <c r="M466" i="3"/>
  <c r="N466" i="3" s="1"/>
  <c r="V466" i="3"/>
  <c r="A467" i="3"/>
  <c r="B467" i="3" s="1"/>
  <c r="W466" i="3" l="1"/>
  <c r="L466" i="3"/>
  <c r="P467" i="3"/>
  <c r="Q467" i="3" s="1"/>
  <c r="R467" i="3" s="1"/>
  <c r="S467" i="3" s="1"/>
  <c r="AA467" i="3"/>
  <c r="Z467" i="3"/>
  <c r="AC467" i="3"/>
  <c r="AD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AD468" i="3"/>
  <c r="I467" i="3"/>
  <c r="W467" i="3" s="1"/>
  <c r="J467" i="3"/>
  <c r="M467" i="3"/>
  <c r="N467" i="3" s="1"/>
  <c r="L467" i="3" l="1"/>
  <c r="T468" i="3"/>
  <c r="U467" i="3" l="1"/>
  <c r="D468" i="3" s="1"/>
  <c r="AH468" i="3"/>
  <c r="AG468" i="3"/>
  <c r="Y466" i="3"/>
  <c r="E468" i="3" l="1"/>
  <c r="H468" i="3" s="1"/>
  <c r="K468" i="3" s="1"/>
  <c r="AE468" i="3" s="1"/>
  <c r="G468" i="3"/>
  <c r="F468" i="3" l="1"/>
  <c r="I468" i="3"/>
  <c r="J468" i="3"/>
  <c r="M468" i="3"/>
  <c r="N468" i="3" s="1"/>
  <c r="V468" i="3"/>
  <c r="A469" i="3"/>
  <c r="B469" i="3" s="1"/>
  <c r="W468" i="3" l="1"/>
  <c r="L468" i="3"/>
  <c r="AD469" i="3"/>
  <c r="AA469" i="3"/>
  <c r="P469" i="3"/>
  <c r="Q469" i="3" s="1"/>
  <c r="R469" i="3" s="1"/>
  <c r="S469" i="3" s="1"/>
  <c r="Z469" i="3"/>
  <c r="AC469" i="3"/>
  <c r="U468" i="3" l="1"/>
  <c r="Y467" i="3"/>
  <c r="T469" i="3"/>
  <c r="AG469" i="3" s="1"/>
  <c r="D469" i="3" l="1"/>
  <c r="G469" i="3" s="1"/>
  <c r="AH469" i="3"/>
  <c r="E469" i="3"/>
  <c r="H469" i="3" s="1"/>
  <c r="K469" i="3" s="1"/>
  <c r="AE469" i="3" s="1"/>
  <c r="F469" i="3" l="1"/>
  <c r="I469" i="3"/>
  <c r="J469" i="3"/>
  <c r="M469" i="3"/>
  <c r="N469" i="3" s="1"/>
  <c r="V469" i="3"/>
  <c r="A470" i="3"/>
  <c r="B470" i="3" s="1"/>
  <c r="W469" i="3" l="1"/>
  <c r="L469" i="3"/>
  <c r="AC470" i="3"/>
  <c r="P470" i="3"/>
  <c r="Q470" i="3" s="1"/>
  <c r="R470" i="3" s="1"/>
  <c r="S470" i="3" s="1"/>
  <c r="AA470" i="3"/>
  <c r="Z470" i="3"/>
  <c r="AD470" i="3"/>
  <c r="U469" i="3" l="1"/>
  <c r="Y468" i="3"/>
  <c r="T470" i="3"/>
  <c r="D470" i="3" l="1"/>
  <c r="G470" i="3" s="1"/>
  <c r="AH470" i="3"/>
  <c r="AG470" i="3"/>
  <c r="E470" i="3"/>
  <c r="H470" i="3" s="1"/>
  <c r="K470" i="3" l="1"/>
  <c r="AE470" i="3" s="1"/>
  <c r="F470" i="3"/>
  <c r="I470" i="3"/>
  <c r="J470" i="3"/>
  <c r="M470" i="3"/>
  <c r="N470" i="3" s="1"/>
  <c r="V470" i="3" l="1"/>
  <c r="W470" i="3" s="1"/>
  <c r="A471" i="3"/>
  <c r="B471" i="3" s="1"/>
  <c r="L470" i="3"/>
  <c r="U470" i="3" l="1"/>
  <c r="Y469" i="3"/>
  <c r="Z471" i="3"/>
  <c r="AA471" i="3"/>
  <c r="AD471" i="3"/>
  <c r="AC471" i="3"/>
  <c r="P471" i="3"/>
  <c r="Q471" i="3" s="1"/>
  <c r="R471" i="3" s="1"/>
  <c r="S471" i="3" s="1"/>
  <c r="T471" i="3" l="1"/>
  <c r="AH471" i="3" s="1"/>
  <c r="AG471" i="3" l="1"/>
  <c r="E471" i="3"/>
  <c r="H471" i="3" s="1"/>
  <c r="D471" i="3"/>
  <c r="F471" i="3" l="1"/>
  <c r="G471" i="3"/>
  <c r="K471" i="3"/>
  <c r="AE471" i="3" s="1"/>
  <c r="V471" i="3" l="1"/>
  <c r="A472" i="3"/>
  <c r="B472" i="3" s="1"/>
  <c r="I471" i="3"/>
  <c r="J471" i="3"/>
  <c r="M471" i="3"/>
  <c r="N471" i="3" s="1"/>
  <c r="W471" i="3" l="1"/>
  <c r="L471" i="3"/>
  <c r="Z472" i="3"/>
  <c r="AA472" i="3"/>
  <c r="P472" i="3"/>
  <c r="Q472" i="3" s="1"/>
  <c r="R472" i="3" s="1"/>
  <c r="S472" i="3" s="1"/>
  <c r="AD472" i="3"/>
  <c r="AC472" i="3"/>
  <c r="U471" i="3" l="1"/>
  <c r="Y470" i="3"/>
  <c r="T472" i="3"/>
  <c r="E472" i="3" l="1"/>
  <c r="H472" i="3" s="1"/>
  <c r="K472" i="3" s="1"/>
  <c r="AE472" i="3" s="1"/>
  <c r="AG472" i="3"/>
  <c r="AH472" i="3"/>
  <c r="D472" i="3"/>
  <c r="V472" i="3" l="1"/>
  <c r="A473" i="3"/>
  <c r="B473" i="3" s="1"/>
  <c r="F472" i="3"/>
  <c r="G472" i="3"/>
  <c r="I472" i="3" l="1"/>
  <c r="W472" i="3" s="1"/>
  <c r="J472" i="3"/>
  <c r="M472" i="3"/>
  <c r="N472" i="3" s="1"/>
  <c r="AC473" i="3"/>
  <c r="P473" i="3"/>
  <c r="Q473" i="3" s="1"/>
  <c r="R473" i="3" s="1"/>
  <c r="S473" i="3" s="1"/>
  <c r="AD473" i="3"/>
  <c r="Z473" i="3"/>
  <c r="AA473" i="3"/>
  <c r="L472" i="3" l="1"/>
  <c r="T473" i="3"/>
  <c r="U472" i="3" l="1"/>
  <c r="D473" i="3" s="1"/>
  <c r="AH473" i="3"/>
  <c r="AG473" i="3"/>
  <c r="Y471" i="3"/>
  <c r="G473" i="3" l="1"/>
  <c r="E473" i="3"/>
  <c r="H473" i="3" s="1"/>
  <c r="F473" i="3" l="1"/>
  <c r="I473" i="3"/>
  <c r="J473" i="3"/>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D475" i="3"/>
  <c r="AA475" i="3"/>
  <c r="T475" i="3" l="1"/>
  <c r="AG475" i="3" s="1"/>
  <c r="AH475" i="3" l="1"/>
  <c r="E475" i="3"/>
  <c r="H475" i="3" s="1"/>
  <c r="K475" i="3" s="1"/>
  <c r="AE475" i="3" s="1"/>
  <c r="D475" i="3"/>
  <c r="F475" i="3" l="1"/>
  <c r="G475" i="3"/>
  <c r="M475" i="3" s="1"/>
  <c r="N475" i="3" s="1"/>
  <c r="V475" i="3"/>
  <c r="A476" i="3"/>
  <c r="B476" i="3" s="1"/>
  <c r="I475" i="3" l="1"/>
  <c r="W475" i="3" s="1"/>
  <c r="J475" i="3"/>
  <c r="L475" i="3" s="1"/>
  <c r="P476" i="3"/>
  <c r="Q476" i="3" s="1"/>
  <c r="R476" i="3" s="1"/>
  <c r="S476" i="3" s="1"/>
  <c r="AA476" i="3"/>
  <c r="AD476" i="3"/>
  <c r="Z476" i="3"/>
  <c r="AC476" i="3"/>
  <c r="U475" i="3" l="1"/>
  <c r="Y474" i="3"/>
  <c r="T476" i="3"/>
  <c r="AG476" i="3" s="1"/>
  <c r="D476" i="3" l="1"/>
  <c r="G476" i="3" s="1"/>
  <c r="E476" i="3"/>
  <c r="H476" i="3" s="1"/>
  <c r="K476" i="3" s="1"/>
  <c r="AE476" i="3" s="1"/>
  <c r="AH476" i="3"/>
  <c r="F476" i="3" l="1"/>
  <c r="V476" i="3"/>
  <c r="A477" i="3"/>
  <c r="B477" i="3" s="1"/>
  <c r="I476" i="3"/>
  <c r="J476" i="3"/>
  <c r="M476" i="3"/>
  <c r="N476" i="3" s="1"/>
  <c r="W476" i="3" l="1"/>
  <c r="L476" i="3"/>
  <c r="AA477" i="3"/>
  <c r="P477" i="3"/>
  <c r="Q477" i="3" s="1"/>
  <c r="R477" i="3" s="1"/>
  <c r="S477" i="3" s="1"/>
  <c r="AD477" i="3"/>
  <c r="AC477" i="3"/>
  <c r="Z477" i="3"/>
  <c r="U476" i="3" l="1"/>
  <c r="Y475" i="3"/>
  <c r="T477" i="3"/>
  <c r="D477" i="3" l="1"/>
  <c r="G477" i="3" s="1"/>
  <c r="AG477" i="3"/>
  <c r="E477" i="3"/>
  <c r="H477" i="3" s="1"/>
  <c r="K477" i="3" s="1"/>
  <c r="AE477" i="3" s="1"/>
  <c r="AH477" i="3"/>
  <c r="F477" i="3" l="1"/>
  <c r="V477" i="3"/>
  <c r="A478" i="3"/>
  <c r="B478" i="3" s="1"/>
  <c r="I477" i="3"/>
  <c r="J477" i="3"/>
  <c r="M477" i="3"/>
  <c r="N477" i="3" s="1"/>
  <c r="W477" i="3" l="1"/>
  <c r="L477" i="3"/>
  <c r="AA478" i="3"/>
  <c r="AD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M478" i="3"/>
  <c r="N478" i="3" s="1"/>
  <c r="P479" i="3"/>
  <c r="Q479" i="3" s="1"/>
  <c r="R479" i="3" s="1"/>
  <c r="S479" i="3" s="1"/>
  <c r="AD479" i="3"/>
  <c r="AC479" i="3"/>
  <c r="AA479" i="3"/>
  <c r="Z479" i="3"/>
  <c r="T479" i="3" l="1"/>
  <c r="L478" i="3"/>
  <c r="U478" i="3" l="1"/>
  <c r="E479" i="3" s="1"/>
  <c r="H479" i="3" s="1"/>
  <c r="AH479" i="3"/>
  <c r="AG479" i="3"/>
  <c r="Y477" i="3"/>
  <c r="D479" i="3" l="1"/>
  <c r="G479" i="3" s="1"/>
  <c r="K479" i="3"/>
  <c r="AE479" i="3" s="1"/>
  <c r="F479" i="3" l="1"/>
  <c r="I479" i="3"/>
  <c r="J479" i="3"/>
  <c r="M479" i="3"/>
  <c r="N479" i="3" s="1"/>
  <c r="V479" i="3"/>
  <c r="A480" i="3"/>
  <c r="B480" i="3" s="1"/>
  <c r="W479" i="3" l="1"/>
  <c r="AA480" i="3"/>
  <c r="P480" i="3"/>
  <c r="Q480" i="3" s="1"/>
  <c r="R480" i="3" s="1"/>
  <c r="S480" i="3" s="1"/>
  <c r="AD480" i="3"/>
  <c r="AC480" i="3"/>
  <c r="Z480" i="3"/>
  <c r="L479" i="3"/>
  <c r="U479" i="3" l="1"/>
  <c r="Y478" i="3"/>
  <c r="T480" i="3"/>
  <c r="E480" i="3" l="1"/>
  <c r="H480" i="3" s="1"/>
  <c r="K480" i="3" s="1"/>
  <c r="AE480" i="3" s="1"/>
  <c r="AH480" i="3"/>
  <c r="AG480" i="3"/>
  <c r="D480" i="3"/>
  <c r="V480" i="3" l="1"/>
  <c r="A481" i="3"/>
  <c r="B481" i="3" s="1"/>
  <c r="F480" i="3"/>
  <c r="G480" i="3"/>
  <c r="I480" i="3" l="1"/>
  <c r="W480" i="3" s="1"/>
  <c r="J480" i="3"/>
  <c r="M480" i="3"/>
  <c r="N480" i="3" s="1"/>
  <c r="P481" i="3"/>
  <c r="Q481" i="3" s="1"/>
  <c r="R481" i="3" s="1"/>
  <c r="S481" i="3" s="1"/>
  <c r="AC481" i="3"/>
  <c r="AA481" i="3"/>
  <c r="AD481" i="3"/>
  <c r="Z481" i="3"/>
  <c r="T481" i="3" l="1"/>
  <c r="L480" i="3"/>
  <c r="U480" i="3" l="1"/>
  <c r="D481" i="3" s="1"/>
  <c r="AG481" i="3"/>
  <c r="AH481" i="3"/>
  <c r="Y479" i="3"/>
  <c r="G481" i="3" l="1"/>
  <c r="E481" i="3"/>
  <c r="H481" i="3" s="1"/>
  <c r="K481" i="3" l="1"/>
  <c r="AE481" i="3" s="1"/>
  <c r="I481" i="3"/>
  <c r="J481" i="3"/>
  <c r="M481" i="3"/>
  <c r="N481" i="3" s="1"/>
  <c r="F481" i="3"/>
  <c r="V481" i="3" l="1"/>
  <c r="W481" i="3" s="1"/>
  <c r="A482" i="3"/>
  <c r="B482" i="3" s="1"/>
  <c r="L481" i="3"/>
  <c r="U481" i="3" l="1"/>
  <c r="Y480" i="3"/>
  <c r="AC482" i="3"/>
  <c r="AA482" i="3"/>
  <c r="P482" i="3"/>
  <c r="Q482" i="3" s="1"/>
  <c r="R482" i="3" s="1"/>
  <c r="S482" i="3" s="1"/>
  <c r="AD482" i="3"/>
  <c r="Z482" i="3"/>
  <c r="T482" i="3" l="1"/>
  <c r="D482" i="3" s="1"/>
  <c r="AG482" i="3" l="1"/>
  <c r="G482" i="3"/>
  <c r="AH482" i="3"/>
  <c r="E482" i="3"/>
  <c r="H482" i="3" s="1"/>
  <c r="F482" i="3" l="1"/>
  <c r="I482" i="3"/>
  <c r="J482" i="3"/>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AD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M487" i="3"/>
  <c r="N487" i="3" s="1"/>
  <c r="AA488" i="3"/>
  <c r="AD488" i="3"/>
  <c r="Z488" i="3"/>
  <c r="P488" i="3"/>
  <c r="Q488" i="3" s="1"/>
  <c r="R488" i="3" s="1"/>
  <c r="S488" i="3" s="1"/>
  <c r="AC488" i="3"/>
  <c r="L487" i="3" l="1"/>
  <c r="T488" i="3"/>
  <c r="U487" i="3" l="1"/>
  <c r="D488" i="3" s="1"/>
  <c r="AG488" i="3"/>
  <c r="AH488" i="3"/>
  <c r="Y486" i="3"/>
  <c r="E488" i="3" l="1"/>
  <c r="H488" i="3" s="1"/>
  <c r="K488" i="3" s="1"/>
  <c r="AE488" i="3" s="1"/>
  <c r="G488" i="3"/>
  <c r="F488" i="3" l="1"/>
  <c r="I488" i="3"/>
  <c r="J488" i="3"/>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AD492" i="3"/>
  <c r="T492" i="3" l="1"/>
  <c r="U491" i="3"/>
  <c r="Y490" i="3"/>
  <c r="D492" i="3" l="1"/>
  <c r="G492" i="3" s="1"/>
  <c r="AH492" i="3"/>
  <c r="AG492" i="3"/>
  <c r="E492" i="3"/>
  <c r="H492" i="3" s="1"/>
  <c r="F492" i="3" l="1"/>
  <c r="I492" i="3"/>
  <c r="J492" i="3"/>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D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M495" i="3"/>
  <c r="N495" i="3" s="1"/>
  <c r="W495" i="3" l="1"/>
  <c r="L495" i="3"/>
  <c r="AD496"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M496" i="3"/>
  <c r="N496" i="3" s="1"/>
  <c r="W496" i="3" l="1"/>
  <c r="L496" i="3"/>
  <c r="P497" i="3"/>
  <c r="Q497" i="3" s="1"/>
  <c r="R497" i="3" s="1"/>
  <c r="S497" i="3" s="1"/>
  <c r="AC497" i="3"/>
  <c r="AA497" i="3"/>
  <c r="AD497" i="3"/>
  <c r="Z497" i="3"/>
  <c r="U496" i="3" l="1"/>
  <c r="Y495" i="3"/>
  <c r="T497" i="3"/>
  <c r="AG497" i="3" s="1"/>
  <c r="E497" i="3" l="1"/>
  <c r="H497" i="3" s="1"/>
  <c r="D497" i="3"/>
  <c r="AH497" i="3"/>
  <c r="F497" i="3" l="1"/>
  <c r="G497" i="3"/>
  <c r="K497" i="3"/>
  <c r="AE497" i="3" s="1"/>
  <c r="I497" i="3" l="1"/>
  <c r="J497" i="3"/>
  <c r="M497" i="3"/>
  <c r="N497" i="3" s="1"/>
  <c r="V497" i="3"/>
  <c r="A498" i="3"/>
  <c r="B498" i="3" s="1"/>
  <c r="W497" i="3" l="1"/>
  <c r="L497" i="3"/>
  <c r="Z498" i="3"/>
  <c r="AC498" i="3"/>
  <c r="AD498" i="3"/>
  <c r="AA498" i="3"/>
  <c r="P498" i="3"/>
  <c r="Q498" i="3" s="1"/>
  <c r="R498" i="3" s="1"/>
  <c r="S498" i="3" s="1"/>
  <c r="U497" i="3" l="1"/>
  <c r="Y496" i="3"/>
  <c r="T498" i="3"/>
  <c r="AH498" i="3" s="1"/>
  <c r="AG498" i="3" l="1"/>
  <c r="D498" i="3"/>
  <c r="E498" i="3"/>
  <c r="H498" i="3" s="1"/>
  <c r="F498" i="3" l="1"/>
  <c r="G498" i="3"/>
  <c r="K498" i="3"/>
  <c r="AE498" i="3" s="1"/>
  <c r="I498" i="3" l="1"/>
  <c r="J498" i="3"/>
  <c r="M498" i="3"/>
  <c r="N498" i="3" s="1"/>
  <c r="V498" i="3"/>
  <c r="A499" i="3"/>
  <c r="B499" i="3" s="1"/>
  <c r="W498" i="3" l="1"/>
  <c r="L498" i="3"/>
  <c r="AC499" i="3"/>
  <c r="P499" i="3"/>
  <c r="Q499" i="3" s="1"/>
  <c r="R499" i="3" s="1"/>
  <c r="S499" i="3" s="1"/>
  <c r="AD499" i="3"/>
  <c r="AA499" i="3"/>
  <c r="Z499" i="3"/>
  <c r="T499" i="3" l="1"/>
  <c r="U498" i="3"/>
  <c r="Y497" i="3"/>
  <c r="D499" i="3" l="1"/>
  <c r="G499" i="3" s="1"/>
  <c r="AH499" i="3"/>
  <c r="E499" i="3"/>
  <c r="H499" i="3" s="1"/>
  <c r="AG499" i="3"/>
  <c r="F499" i="3" l="1"/>
  <c r="I499" i="3"/>
  <c r="J499" i="3"/>
  <c r="M499" i="3"/>
  <c r="N499" i="3" s="1"/>
  <c r="K499" i="3"/>
  <c r="AE499" i="3" s="1"/>
  <c r="V499" i="3" l="1"/>
  <c r="W499" i="3" s="1"/>
  <c r="A500" i="3"/>
  <c r="B500" i="3" s="1"/>
  <c r="L499" i="3"/>
  <c r="U499" i="3" l="1"/>
  <c r="Y498" i="3"/>
  <c r="AD500" i="3"/>
  <c r="AA500" i="3"/>
  <c r="AC500" i="3"/>
  <c r="P500" i="3"/>
  <c r="Q500" i="3" s="1"/>
  <c r="R500" i="3" s="1"/>
  <c r="S500" i="3" s="1"/>
  <c r="Z500" i="3"/>
  <c r="T500" i="3" l="1"/>
  <c r="AH500" i="3" s="1"/>
  <c r="D500" i="3" l="1"/>
  <c r="AG500" i="3"/>
  <c r="E500" i="3"/>
  <c r="H500" i="3" s="1"/>
  <c r="F500" i="3" l="1"/>
  <c r="G500" i="3"/>
  <c r="K500" i="3"/>
  <c r="AE500" i="3" s="1"/>
  <c r="I500" i="3" l="1"/>
  <c r="J500" i="3"/>
  <c r="M500" i="3"/>
  <c r="N500" i="3" s="1"/>
  <c r="V500" i="3"/>
  <c r="A501" i="3"/>
  <c r="B501" i="3" s="1"/>
  <c r="W500" i="3" l="1"/>
  <c r="L500" i="3"/>
  <c r="P501" i="3"/>
  <c r="Q501" i="3" s="1"/>
  <c r="R501" i="3" s="1"/>
  <c r="S501" i="3" s="1"/>
  <c r="AC501" i="3"/>
  <c r="AD501" i="3"/>
  <c r="Z501" i="3"/>
  <c r="AA501" i="3"/>
  <c r="U500" i="3" l="1"/>
  <c r="Y499" i="3"/>
  <c r="T501" i="3"/>
  <c r="D501" i="3" l="1"/>
  <c r="G501" i="3" s="1"/>
  <c r="E501" i="3"/>
  <c r="H501" i="3" s="1"/>
  <c r="K501" i="3" s="1"/>
  <c r="AE501" i="3" s="1"/>
  <c r="AG501" i="3"/>
  <c r="AH501" i="3"/>
  <c r="F501" i="3" l="1"/>
  <c r="I501" i="3"/>
  <c r="J501" i="3"/>
  <c r="M501" i="3"/>
  <c r="N501" i="3" s="1"/>
  <c r="V501" i="3"/>
  <c r="A502" i="3"/>
  <c r="B502" i="3" s="1"/>
  <c r="L501" i="3" l="1"/>
  <c r="W501" i="3"/>
  <c r="Z502" i="3"/>
  <c r="AA502" i="3"/>
  <c r="AC502" i="3"/>
  <c r="AD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M502" i="3"/>
  <c r="N502" i="3" s="1"/>
  <c r="AA503" i="3"/>
  <c r="P503" i="3"/>
  <c r="Q503" i="3" s="1"/>
  <c r="R503" i="3" s="1"/>
  <c r="S503" i="3" s="1"/>
  <c r="AD503" i="3"/>
  <c r="AC503" i="3"/>
  <c r="Z503" i="3"/>
  <c r="T503" i="3" l="1"/>
  <c r="L502" i="3"/>
  <c r="AG503" i="3" l="1"/>
  <c r="AH503" i="3"/>
  <c r="U502" i="3"/>
  <c r="E503" i="3" s="1"/>
  <c r="H503" i="3" s="1"/>
  <c r="Y501" i="3"/>
  <c r="D503" i="3" l="1"/>
  <c r="G503" i="3" s="1"/>
  <c r="K503" i="3"/>
  <c r="AE503" i="3" s="1"/>
  <c r="F503" i="3" l="1"/>
  <c r="V503" i="3"/>
  <c r="A504" i="3"/>
  <c r="B504" i="3" s="1"/>
  <c r="I503" i="3"/>
  <c r="J503" i="3"/>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D505" i="3"/>
  <c r="AA505" i="3"/>
  <c r="L504" i="3" l="1"/>
  <c r="Y503" i="3" s="1"/>
  <c r="AD504" i="3"/>
  <c r="T505" i="3"/>
  <c r="AH505" i="3" l="1"/>
  <c r="U504" i="3"/>
  <c r="D505" i="3" s="1"/>
  <c r="G505" i="3" s="1"/>
  <c r="AG505" i="3"/>
  <c r="E505" i="3" l="1"/>
  <c r="H505" i="3" s="1"/>
  <c r="K505" i="3" s="1"/>
  <c r="AE505" i="3" s="1"/>
  <c r="J505" i="3"/>
  <c r="I505" i="3" l="1"/>
  <c r="F505" i="3"/>
  <c r="V505" i="3"/>
  <c r="M505" i="3"/>
  <c r="N505" i="3" s="1"/>
  <c r="A506" i="3"/>
  <c r="B506" i="3" s="1"/>
  <c r="P506" i="3" s="1"/>
  <c r="Q506" i="3" s="1"/>
  <c r="R506" i="3" s="1"/>
  <c r="S506" i="3" s="1"/>
  <c r="L505" i="3"/>
  <c r="W505" i="3" l="1"/>
  <c r="AA506" i="3"/>
  <c r="AD506" i="3"/>
  <c r="AC506" i="3"/>
  <c r="Z506" i="3"/>
  <c r="U505" i="3"/>
  <c r="Y504" i="3"/>
  <c r="T506" i="3"/>
  <c r="AG506" i="3" l="1"/>
  <c r="D506" i="3"/>
  <c r="G506" i="3" s="1"/>
  <c r="AH506" i="3"/>
  <c r="E506" i="3"/>
  <c r="H506" i="3" s="1"/>
  <c r="K506" i="3" s="1"/>
  <c r="AE506" i="3" s="1"/>
  <c r="F506" i="3" l="1"/>
  <c r="I506" i="3"/>
  <c r="J506" i="3"/>
  <c r="M506" i="3"/>
  <c r="N506" i="3" s="1"/>
  <c r="V506" i="3"/>
  <c r="A507" i="3"/>
  <c r="B507" i="3" s="1"/>
  <c r="W506" i="3" l="1"/>
  <c r="L506" i="3"/>
  <c r="AD507" i="3"/>
  <c r="AC507" i="3"/>
  <c r="P507" i="3"/>
  <c r="Q507" i="3" s="1"/>
  <c r="R507" i="3" s="1"/>
  <c r="S507" i="3" s="1"/>
  <c r="AA507" i="3"/>
  <c r="Z507" i="3"/>
  <c r="U506" i="3" l="1"/>
  <c r="Y505" i="3"/>
  <c r="T507" i="3"/>
  <c r="AH507" i="3" s="1"/>
  <c r="AG507" i="3" l="1"/>
  <c r="E507" i="3"/>
  <c r="H507" i="3" s="1"/>
  <c r="D507" i="3"/>
  <c r="K507" i="3" l="1"/>
  <c r="AE507" i="3" s="1"/>
  <c r="F507" i="3"/>
  <c r="G507" i="3"/>
  <c r="I507" i="3" l="1"/>
  <c r="J507" i="3"/>
  <c r="M507" i="3"/>
  <c r="N507" i="3" s="1"/>
  <c r="V507" i="3"/>
  <c r="A508" i="3"/>
  <c r="B508" i="3" s="1"/>
  <c r="W507" i="3" l="1"/>
  <c r="L507" i="3"/>
  <c r="P508" i="3"/>
  <c r="Q508" i="3" s="1"/>
  <c r="R508" i="3" s="1"/>
  <c r="S508" i="3" s="1"/>
  <c r="AD508" i="3"/>
  <c r="AA508" i="3"/>
  <c r="Z508" i="3"/>
  <c r="AC508" i="3"/>
  <c r="U507" i="3" l="1"/>
  <c r="Y506" i="3"/>
  <c r="T508" i="3"/>
  <c r="E508" i="3" l="1"/>
  <c r="H508" i="3" s="1"/>
  <c r="K508" i="3" s="1"/>
  <c r="AE508" i="3" s="1"/>
  <c r="AH508" i="3"/>
  <c r="D508" i="3"/>
  <c r="AG508" i="3"/>
  <c r="F508" i="3" l="1"/>
  <c r="G508" i="3"/>
  <c r="V508" i="3"/>
  <c r="A509" i="3"/>
  <c r="B509" i="3" s="1"/>
  <c r="AD509" i="3" l="1"/>
  <c r="AC509" i="3"/>
  <c r="Z509" i="3"/>
  <c r="AA509" i="3"/>
  <c r="P509" i="3"/>
  <c r="Q509" i="3" s="1"/>
  <c r="R509" i="3" s="1"/>
  <c r="S509" i="3" s="1"/>
  <c r="I508" i="3"/>
  <c r="W508" i="3" s="1"/>
  <c r="J508" i="3"/>
  <c r="M508" i="3"/>
  <c r="N508" i="3" s="1"/>
  <c r="L508" i="3" l="1"/>
  <c r="T509" i="3"/>
  <c r="AG509" i="3" l="1"/>
  <c r="AH509" i="3"/>
  <c r="U508" i="3"/>
  <c r="D509" i="3" s="1"/>
  <c r="Y507" i="3"/>
  <c r="G509" i="3" l="1"/>
  <c r="E509" i="3"/>
  <c r="H509" i="3" s="1"/>
  <c r="F509" i="3" l="1"/>
  <c r="I509" i="3"/>
  <c r="J509" i="3"/>
  <c r="M509" i="3"/>
  <c r="N509" i="3" s="1"/>
  <c r="K509" i="3"/>
  <c r="AE509" i="3" s="1"/>
  <c r="V509" i="3" l="1"/>
  <c r="W509" i="3" s="1"/>
  <c r="A510" i="3"/>
  <c r="B510" i="3" s="1"/>
  <c r="L509" i="3"/>
  <c r="U509" i="3" l="1"/>
  <c r="Y508" i="3"/>
  <c r="AC510" i="3"/>
  <c r="Z510" i="3"/>
  <c r="AA510" i="3"/>
  <c r="AD510" i="3"/>
  <c r="P510" i="3"/>
  <c r="Q510" i="3" s="1"/>
  <c r="R510" i="3" s="1"/>
  <c r="S510" i="3" s="1"/>
  <c r="T510" i="3" l="1"/>
  <c r="AH510" i="3" l="1"/>
  <c r="E510" i="3"/>
  <c r="H510" i="3" s="1"/>
  <c r="D510" i="3"/>
  <c r="AG510" i="3"/>
  <c r="F510" i="3" l="1"/>
  <c r="G510" i="3"/>
  <c r="K510" i="3"/>
  <c r="AE510" i="3" s="1"/>
  <c r="V510" i="3" l="1"/>
  <c r="A511" i="3"/>
  <c r="B511" i="3" s="1"/>
  <c r="I510" i="3"/>
  <c r="J510" i="3"/>
  <c r="M510" i="3"/>
  <c r="N510" i="3" s="1"/>
  <c r="L510" i="3" l="1"/>
  <c r="AA511" i="3"/>
  <c r="AC511" i="3"/>
  <c r="P511" i="3"/>
  <c r="Q511" i="3" s="1"/>
  <c r="R511" i="3" s="1"/>
  <c r="S511" i="3" s="1"/>
  <c r="Z511" i="3"/>
  <c r="AD511" i="3"/>
  <c r="W510" i="3"/>
  <c r="U510" i="3" l="1"/>
  <c r="Y509" i="3"/>
  <c r="T511" i="3"/>
  <c r="AG511" i="3" s="1"/>
  <c r="AH511" i="3" l="1"/>
  <c r="D511" i="3"/>
  <c r="E511" i="3"/>
  <c r="H511" i="3" s="1"/>
  <c r="F511" i="3" l="1"/>
  <c r="G511" i="3"/>
  <c r="K511" i="3"/>
  <c r="AE511" i="3" s="1"/>
  <c r="V511" i="3" l="1"/>
  <c r="A512" i="3"/>
  <c r="B512" i="3" s="1"/>
  <c r="I511" i="3"/>
  <c r="J511" i="3"/>
  <c r="M511" i="3"/>
  <c r="N511" i="3" s="1"/>
  <c r="W511" i="3" l="1"/>
  <c r="L511" i="3"/>
  <c r="AC512" i="3"/>
  <c r="Z512" i="3"/>
  <c r="AA512" i="3"/>
  <c r="P512" i="3"/>
  <c r="Q512" i="3" s="1"/>
  <c r="R512" i="3" s="1"/>
  <c r="S512" i="3" s="1"/>
  <c r="AD512" i="3"/>
  <c r="T512" i="3" l="1"/>
  <c r="U511" i="3"/>
  <c r="Y510" i="3"/>
  <c r="D512" i="3" l="1"/>
  <c r="G512" i="3" s="1"/>
  <c r="AH512" i="3"/>
  <c r="E512" i="3"/>
  <c r="H512" i="3" s="1"/>
  <c r="K512" i="3" s="1"/>
  <c r="AE512" i="3" s="1"/>
  <c r="AG512" i="3"/>
  <c r="F512" i="3" l="1"/>
  <c r="I512" i="3"/>
  <c r="J512" i="3"/>
  <c r="M512" i="3"/>
  <c r="N512" i="3" s="1"/>
  <c r="V512" i="3"/>
  <c r="A513" i="3"/>
  <c r="B513" i="3" s="1"/>
  <c r="W512" i="3" l="1"/>
  <c r="L512" i="3"/>
  <c r="AA513" i="3"/>
  <c r="P513" i="3"/>
  <c r="Q513" i="3" s="1"/>
  <c r="R513" i="3" s="1"/>
  <c r="S513" i="3" s="1"/>
  <c r="AC513" i="3"/>
  <c r="AD513" i="3"/>
  <c r="Z513" i="3"/>
  <c r="T513" i="3" l="1"/>
  <c r="AG513" i="3" s="1"/>
  <c r="U512" i="3"/>
  <c r="Y511" i="3"/>
  <c r="AH513" i="3" l="1"/>
  <c r="E513" i="3"/>
  <c r="H513" i="3" s="1"/>
  <c r="D513" i="3"/>
  <c r="F513" i="3" l="1"/>
  <c r="G513" i="3"/>
  <c r="K513" i="3"/>
  <c r="AE513" i="3" s="1"/>
  <c r="V513" i="3" l="1"/>
  <c r="A514" i="3"/>
  <c r="B514" i="3" s="1"/>
  <c r="I513" i="3"/>
  <c r="J513" i="3"/>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AD515" i="3"/>
  <c r="P515" i="3"/>
  <c r="Q515" i="3" s="1"/>
  <c r="R515" i="3" s="1"/>
  <c r="S515" i="3" s="1"/>
  <c r="AC515" i="3"/>
  <c r="Z515" i="3"/>
  <c r="AA515" i="3"/>
  <c r="U514" i="3" l="1"/>
  <c r="Y513" i="3"/>
  <c r="T515" i="3"/>
  <c r="D515" i="3" l="1"/>
  <c r="G515" i="3" s="1"/>
  <c r="AG515" i="3"/>
  <c r="AH515" i="3"/>
  <c r="E515" i="3"/>
  <c r="H515" i="3" s="1"/>
  <c r="K515" i="3" l="1"/>
  <c r="AE515" i="3" s="1"/>
  <c r="I515" i="3"/>
  <c r="J515" i="3"/>
  <c r="M515" i="3"/>
  <c r="N515" i="3" s="1"/>
  <c r="F515" i="3"/>
  <c r="L515" i="3" l="1"/>
  <c r="V515" i="3"/>
  <c r="W515" i="3" s="1"/>
  <c r="A516" i="3"/>
  <c r="B516" i="3" s="1"/>
  <c r="U515" i="3" l="1"/>
  <c r="Y514" i="3"/>
  <c r="AA516" i="3"/>
  <c r="Z516" i="3"/>
  <c r="AC516" i="3"/>
  <c r="P516" i="3"/>
  <c r="Q516" i="3" s="1"/>
  <c r="R516" i="3" s="1"/>
  <c r="S516" i="3" s="1"/>
  <c r="AD516" i="3"/>
  <c r="T516" i="3" l="1"/>
  <c r="AG516" i="3" s="1"/>
  <c r="D516" i="3" l="1"/>
  <c r="AH516" i="3"/>
  <c r="E516" i="3"/>
  <c r="H516" i="3" s="1"/>
  <c r="F516" i="3" l="1"/>
  <c r="G516" i="3"/>
  <c r="K516" i="3"/>
  <c r="AE516" i="3" s="1"/>
  <c r="I516" i="3" l="1"/>
  <c r="J516" i="3"/>
  <c r="M516" i="3"/>
  <c r="N516" i="3" s="1"/>
  <c r="V516" i="3"/>
  <c r="A517" i="3"/>
  <c r="B517" i="3" s="1"/>
  <c r="W516" i="3" l="1"/>
  <c r="L516" i="3"/>
  <c r="AD517" i="3"/>
  <c r="AC517" i="3"/>
  <c r="P517" i="3"/>
  <c r="Q517" i="3" s="1"/>
  <c r="R517" i="3" s="1"/>
  <c r="S517" i="3" s="1"/>
  <c r="AA517" i="3"/>
  <c r="Z517" i="3"/>
  <c r="U516" i="3" l="1"/>
  <c r="Y515" i="3"/>
  <c r="T517" i="3"/>
  <c r="AG517" i="3" s="1"/>
  <c r="D517" i="3" l="1"/>
  <c r="G517" i="3" s="1"/>
  <c r="AH517" i="3"/>
  <c r="E517" i="3"/>
  <c r="H517" i="3" s="1"/>
  <c r="K517" i="3" s="1"/>
  <c r="AE517" i="3" s="1"/>
  <c r="F517" i="3" l="1"/>
  <c r="I517" i="3"/>
  <c r="J517" i="3"/>
  <c r="M517" i="3"/>
  <c r="N517" i="3" s="1"/>
  <c r="V517" i="3"/>
  <c r="A518" i="3"/>
  <c r="B518" i="3" s="1"/>
  <c r="W517" i="3" l="1"/>
  <c r="L517" i="3"/>
  <c r="AD518" i="3"/>
  <c r="AA518" i="3"/>
  <c r="AC518" i="3"/>
  <c r="Z518" i="3"/>
  <c r="P518" i="3"/>
  <c r="Q518" i="3" s="1"/>
  <c r="R518" i="3" s="1"/>
  <c r="S518" i="3" s="1"/>
  <c r="U517" i="3" l="1"/>
  <c r="Y516" i="3"/>
  <c r="T518" i="3"/>
  <c r="D518" i="3" l="1"/>
  <c r="G518" i="3" s="1"/>
  <c r="E518" i="3"/>
  <c r="H518" i="3" s="1"/>
  <c r="AH518" i="3"/>
  <c r="AG518" i="3"/>
  <c r="F518" i="3" l="1"/>
  <c r="I518" i="3"/>
  <c r="J518" i="3"/>
  <c r="M518" i="3"/>
  <c r="N518" i="3" s="1"/>
  <c r="K518" i="3"/>
  <c r="AE518" i="3" s="1"/>
  <c r="V518" i="3" l="1"/>
  <c r="W518" i="3" s="1"/>
  <c r="A519" i="3"/>
  <c r="B519" i="3" s="1"/>
  <c r="L518" i="3"/>
  <c r="U518" i="3" l="1"/>
  <c r="Y517" i="3"/>
  <c r="AD519" i="3"/>
  <c r="AA519" i="3"/>
  <c r="Z519" i="3"/>
  <c r="AC519" i="3"/>
  <c r="P519" i="3"/>
  <c r="Q519" i="3" s="1"/>
  <c r="R519" i="3" s="1"/>
  <c r="S519" i="3" s="1"/>
  <c r="T519" i="3" l="1"/>
  <c r="D519" i="3" s="1"/>
  <c r="AG519" i="3" l="1"/>
  <c r="G519" i="3"/>
  <c r="AH519" i="3"/>
  <c r="E519" i="3"/>
  <c r="H519" i="3" s="1"/>
  <c r="F519" i="3" l="1"/>
  <c r="I519" i="3"/>
  <c r="J519" i="3"/>
  <c r="M519" i="3"/>
  <c r="N519" i="3" s="1"/>
  <c r="K519" i="3"/>
  <c r="AE519" i="3" s="1"/>
  <c r="V519" i="3" l="1"/>
  <c r="W519" i="3" s="1"/>
  <c r="A520" i="3"/>
  <c r="B520" i="3" s="1"/>
  <c r="L519" i="3"/>
  <c r="U519" i="3" l="1"/>
  <c r="Y518" i="3"/>
  <c r="AA520" i="3"/>
  <c r="AC520" i="3"/>
  <c r="Z520" i="3"/>
  <c r="AD520" i="3"/>
  <c r="P520" i="3"/>
  <c r="Q520" i="3" s="1"/>
  <c r="R520" i="3" s="1"/>
  <c r="S520" i="3" s="1"/>
  <c r="T520" i="3" l="1"/>
  <c r="D520" i="3" s="1"/>
  <c r="AG520" i="3" l="1"/>
  <c r="E520" i="3"/>
  <c r="H520" i="3" s="1"/>
  <c r="K520" i="3" s="1"/>
  <c r="AE520" i="3" s="1"/>
  <c r="AH520" i="3"/>
  <c r="G520" i="3"/>
  <c r="F520" i="3" l="1"/>
  <c r="I520" i="3"/>
  <c r="J520" i="3"/>
  <c r="M520" i="3"/>
  <c r="N520" i="3" s="1"/>
  <c r="V520" i="3"/>
  <c r="A521" i="3"/>
  <c r="B521" i="3" s="1"/>
  <c r="W520" i="3" l="1"/>
  <c r="L520" i="3"/>
  <c r="P521" i="3"/>
  <c r="Q521" i="3" s="1"/>
  <c r="R521" i="3" s="1"/>
  <c r="S521" i="3" s="1"/>
  <c r="AC521" i="3"/>
  <c r="AA521" i="3"/>
  <c r="AD521" i="3"/>
  <c r="Z521" i="3"/>
  <c r="U520" i="3" l="1"/>
  <c r="Y519" i="3"/>
  <c r="T521" i="3"/>
  <c r="AH521" i="3" s="1"/>
  <c r="AG521" i="3" l="1"/>
  <c r="D521" i="3"/>
  <c r="E521" i="3"/>
  <c r="H521" i="3" s="1"/>
  <c r="K521" i="3" s="1"/>
  <c r="AE521" i="3" s="1"/>
  <c r="F521" i="3" l="1"/>
  <c r="G521" i="3"/>
  <c r="I521" i="3" s="1"/>
  <c r="V521" i="3"/>
  <c r="A522" i="3"/>
  <c r="B522" i="3" s="1"/>
  <c r="M521" i="3" l="1"/>
  <c r="N521" i="3" s="1"/>
  <c r="J521" i="3"/>
  <c r="L521" i="3" s="1"/>
  <c r="W521" i="3"/>
  <c r="AC522" i="3"/>
  <c r="P522" i="3"/>
  <c r="Q522" i="3" s="1"/>
  <c r="R522" i="3" s="1"/>
  <c r="S522" i="3" s="1"/>
  <c r="AA522" i="3"/>
  <c r="AD522" i="3"/>
  <c r="Z522" i="3"/>
  <c r="U521" i="3" l="1"/>
  <c r="Y520" i="3"/>
  <c r="T522" i="3"/>
  <c r="AG522" i="3" s="1"/>
  <c r="AH522" i="3" l="1"/>
  <c r="E522" i="3"/>
  <c r="H522" i="3" s="1"/>
  <c r="D522" i="3"/>
  <c r="K522" i="3" l="1"/>
  <c r="AE522" i="3" s="1"/>
  <c r="F522" i="3"/>
  <c r="G522" i="3"/>
  <c r="I522" i="3" l="1"/>
  <c r="J522" i="3"/>
  <c r="M522" i="3"/>
  <c r="N522" i="3" s="1"/>
  <c r="V522" i="3"/>
  <c r="A523" i="3"/>
  <c r="B523" i="3" s="1"/>
  <c r="W522" i="3" l="1"/>
  <c r="L522" i="3"/>
  <c r="AC523" i="3"/>
  <c r="Z523" i="3"/>
  <c r="AD523" i="3"/>
  <c r="AA523" i="3"/>
  <c r="P523" i="3"/>
  <c r="Q523" i="3" s="1"/>
  <c r="R523" i="3" s="1"/>
  <c r="S523" i="3" s="1"/>
  <c r="U522" i="3" l="1"/>
  <c r="Y521" i="3"/>
  <c r="T523" i="3"/>
  <c r="AG523" i="3" s="1"/>
  <c r="AH523" i="3" l="1"/>
  <c r="D523" i="3"/>
  <c r="G523" i="3" s="1"/>
  <c r="E523" i="3"/>
  <c r="H523" i="3" s="1"/>
  <c r="F523" i="3" l="1"/>
  <c r="I523" i="3"/>
  <c r="J523" i="3"/>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AD525" i="3"/>
  <c r="Z525" i="3"/>
  <c r="P525" i="3"/>
  <c r="Q525" i="3" s="1"/>
  <c r="R525" i="3" s="1"/>
  <c r="S525" i="3" s="1"/>
  <c r="T525" i="3" l="1"/>
  <c r="AH525" i="3" s="1"/>
  <c r="U524" i="3"/>
  <c r="Y523" i="3"/>
  <c r="AG525" i="3" l="1"/>
  <c r="D525" i="3"/>
  <c r="E525" i="3"/>
  <c r="H525" i="3" s="1"/>
  <c r="F525" i="3" l="1"/>
  <c r="G525" i="3"/>
  <c r="K525" i="3"/>
  <c r="AE525" i="3" s="1"/>
  <c r="I525" i="3" l="1"/>
  <c r="J525" i="3"/>
  <c r="M525" i="3"/>
  <c r="N525" i="3" s="1"/>
  <c r="V525" i="3"/>
  <c r="A526" i="3"/>
  <c r="B526" i="3" s="1"/>
  <c r="L525" i="3" l="1"/>
  <c r="W525" i="3"/>
  <c r="AA526" i="3"/>
  <c r="P526" i="3"/>
  <c r="Q526" i="3" s="1"/>
  <c r="R526" i="3" s="1"/>
  <c r="S526" i="3" s="1"/>
  <c r="Z526" i="3"/>
  <c r="AD526" i="3"/>
  <c r="AC526" i="3"/>
  <c r="T526" i="3" l="1"/>
  <c r="U525" i="3"/>
  <c r="Y524" i="3"/>
  <c r="D526" i="3" l="1"/>
  <c r="G526" i="3" s="1"/>
  <c r="AH526" i="3"/>
  <c r="E526" i="3"/>
  <c r="H526" i="3" s="1"/>
  <c r="K526" i="3" s="1"/>
  <c r="AE526" i="3" s="1"/>
  <c r="AG526" i="3"/>
  <c r="F526" i="3" l="1"/>
  <c r="V526" i="3"/>
  <c r="A527" i="3"/>
  <c r="B527" i="3" s="1"/>
  <c r="I526" i="3"/>
  <c r="J526" i="3"/>
  <c r="M526" i="3"/>
  <c r="N526" i="3" s="1"/>
  <c r="W526" i="3" l="1"/>
  <c r="L526" i="3"/>
  <c r="AD527" i="3"/>
  <c r="Z527" i="3"/>
  <c r="AC527" i="3"/>
  <c r="P527" i="3"/>
  <c r="Q527" i="3" s="1"/>
  <c r="R527" i="3" s="1"/>
  <c r="S527" i="3" s="1"/>
  <c r="AA527" i="3"/>
  <c r="U526" i="3" l="1"/>
  <c r="Y525" i="3"/>
  <c r="T527" i="3"/>
  <c r="D527" i="3" l="1"/>
  <c r="G527" i="3" s="1"/>
  <c r="E527" i="3"/>
  <c r="H527" i="3" s="1"/>
  <c r="AG527" i="3"/>
  <c r="AH527" i="3"/>
  <c r="F527" i="3" l="1"/>
  <c r="I527" i="3"/>
  <c r="J527" i="3"/>
  <c r="M527" i="3"/>
  <c r="N527" i="3" s="1"/>
  <c r="K527" i="3"/>
  <c r="AE527" i="3" s="1"/>
  <c r="V527" i="3" l="1"/>
  <c r="W527" i="3" s="1"/>
  <c r="A528" i="3"/>
  <c r="B528" i="3" s="1"/>
  <c r="L527" i="3"/>
  <c r="U527" i="3" l="1"/>
  <c r="Y526" i="3"/>
  <c r="Z528" i="3"/>
  <c r="P528" i="3"/>
  <c r="Q528" i="3" s="1"/>
  <c r="R528" i="3" s="1"/>
  <c r="S528" i="3" s="1"/>
  <c r="AC528" i="3"/>
  <c r="AD528" i="3"/>
  <c r="AA528" i="3"/>
  <c r="T528" i="3" l="1"/>
  <c r="AH528" i="3" s="1"/>
  <c r="D528" i="3" l="1"/>
  <c r="E528" i="3"/>
  <c r="H528" i="3" s="1"/>
  <c r="K528" i="3" s="1"/>
  <c r="AE528" i="3" s="1"/>
  <c r="AG528" i="3"/>
  <c r="F528" i="3" l="1"/>
  <c r="G528" i="3"/>
  <c r="M528" i="3" s="1"/>
  <c r="N528" i="3" s="1"/>
  <c r="V528" i="3"/>
  <c r="A529" i="3"/>
  <c r="B529" i="3" s="1"/>
  <c r="I528" i="3" l="1"/>
  <c r="W528" i="3" s="1"/>
  <c r="J528" i="3"/>
  <c r="L528" i="3" s="1"/>
  <c r="Z529" i="3"/>
  <c r="AC529" i="3"/>
  <c r="AD529" i="3"/>
  <c r="P529" i="3"/>
  <c r="Q529" i="3" s="1"/>
  <c r="R529" i="3" s="1"/>
  <c r="S529" i="3" s="1"/>
  <c r="AA529" i="3"/>
  <c r="U528" i="3" l="1"/>
  <c r="Y527" i="3"/>
  <c r="T529" i="3"/>
  <c r="AG529" i="3" s="1"/>
  <c r="D529" i="3" l="1"/>
  <c r="G529" i="3" s="1"/>
  <c r="AH529" i="3"/>
  <c r="E529" i="3"/>
  <c r="H529" i="3" s="1"/>
  <c r="K529" i="3" s="1"/>
  <c r="AE529" i="3" s="1"/>
  <c r="F529" i="3" l="1"/>
  <c r="I529" i="3"/>
  <c r="J529" i="3"/>
  <c r="M529" i="3"/>
  <c r="N529" i="3" s="1"/>
  <c r="V529" i="3"/>
  <c r="A530" i="3"/>
  <c r="B530" i="3" s="1"/>
  <c r="W529" i="3" l="1"/>
  <c r="L529" i="3"/>
  <c r="Z530" i="3"/>
  <c r="AD530" i="3"/>
  <c r="P530" i="3"/>
  <c r="Q530" i="3" s="1"/>
  <c r="R530" i="3" s="1"/>
  <c r="S530" i="3" s="1"/>
  <c r="AC530" i="3"/>
  <c r="AA530" i="3"/>
  <c r="T530" i="3" l="1"/>
  <c r="AG530" i="3" s="1"/>
  <c r="U529" i="3"/>
  <c r="Y528" i="3"/>
  <c r="D530" i="3" l="1"/>
  <c r="G530" i="3" s="1"/>
  <c r="AH530" i="3"/>
  <c r="E530" i="3"/>
  <c r="H530" i="3" s="1"/>
  <c r="F530" i="3" l="1"/>
  <c r="I530" i="3"/>
  <c r="J530" i="3"/>
  <c r="M530" i="3"/>
  <c r="N530" i="3" s="1"/>
  <c r="K530" i="3"/>
  <c r="AE530" i="3" s="1"/>
  <c r="V530" i="3" l="1"/>
  <c r="W530" i="3" s="1"/>
  <c r="A531" i="3"/>
  <c r="B531" i="3" s="1"/>
  <c r="L530" i="3"/>
  <c r="U530" i="3" l="1"/>
  <c r="Y529" i="3"/>
  <c r="Z531" i="3"/>
  <c r="AD531" i="3"/>
  <c r="AC531" i="3"/>
  <c r="AA531" i="3"/>
  <c r="P531" i="3"/>
  <c r="Q531" i="3" s="1"/>
  <c r="R531" i="3" s="1"/>
  <c r="S531" i="3" s="1"/>
  <c r="T531" i="3" l="1"/>
  <c r="AG531" i="3" s="1"/>
  <c r="AH531" i="3" l="1"/>
  <c r="D531" i="3"/>
  <c r="E531" i="3"/>
  <c r="H531" i="3" s="1"/>
  <c r="K531" i="3" l="1"/>
  <c r="AE531" i="3" s="1"/>
  <c r="F531" i="3"/>
  <c r="G531" i="3"/>
  <c r="I531" i="3" l="1"/>
  <c r="J531" i="3"/>
  <c r="M531" i="3"/>
  <c r="N531" i="3" s="1"/>
  <c r="V531" i="3"/>
  <c r="A532" i="3"/>
  <c r="B532" i="3" s="1"/>
  <c r="W531" i="3" l="1"/>
  <c r="L531" i="3"/>
  <c r="AD532"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D537" i="3"/>
  <c r="AA537" i="3"/>
  <c r="U536" i="3" l="1"/>
  <c r="Y535" i="3"/>
  <c r="T537" i="3"/>
  <c r="AH537" i="3" s="1"/>
  <c r="AG537" i="3" l="1"/>
  <c r="E537" i="3"/>
  <c r="H537" i="3" s="1"/>
  <c r="D537" i="3"/>
  <c r="K537" i="3" l="1"/>
  <c r="AE537" i="3" s="1"/>
  <c r="F537" i="3"/>
  <c r="G537" i="3"/>
  <c r="I537" i="3" l="1"/>
  <c r="J537" i="3"/>
  <c r="M537" i="3"/>
  <c r="N537" i="3" s="1"/>
  <c r="V537" i="3"/>
  <c r="A538" i="3"/>
  <c r="B538" i="3" s="1"/>
  <c r="W537" i="3" l="1"/>
  <c r="L537" i="3"/>
  <c r="AA538" i="3"/>
  <c r="AC538" i="3"/>
  <c r="AD538" i="3"/>
  <c r="Z538" i="3"/>
  <c r="P538" i="3"/>
  <c r="Q538" i="3" s="1"/>
  <c r="R538" i="3" s="1"/>
  <c r="S538" i="3" s="1"/>
  <c r="T538" i="3" l="1"/>
  <c r="U537" i="3"/>
  <c r="Y536" i="3"/>
  <c r="D538" i="3" l="1"/>
  <c r="G538" i="3" s="1"/>
  <c r="AH538" i="3"/>
  <c r="AG538" i="3"/>
  <c r="E538" i="3"/>
  <c r="H538" i="3" s="1"/>
  <c r="F538" i="3" l="1"/>
  <c r="I538" i="3"/>
  <c r="J538" i="3"/>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D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M545" i="3"/>
  <c r="N545" i="3" s="1"/>
  <c r="AC546" i="3"/>
  <c r="P546" i="3"/>
  <c r="Q546" i="3" s="1"/>
  <c r="R546" i="3" s="1"/>
  <c r="S546" i="3" s="1"/>
  <c r="Z546" i="3"/>
  <c r="AA546" i="3"/>
  <c r="AD546" i="3"/>
  <c r="T546" i="3" l="1"/>
  <c r="L545" i="3"/>
  <c r="U545" i="3" l="1"/>
  <c r="D546" i="3" s="1"/>
  <c r="AG546" i="3"/>
  <c r="AH546" i="3"/>
  <c r="Y544" i="3"/>
  <c r="E546" i="3" l="1"/>
  <c r="H546" i="3" s="1"/>
  <c r="K546" i="3" s="1"/>
  <c r="AE546" i="3" s="1"/>
  <c r="G546" i="3"/>
  <c r="F546" i="3" l="1"/>
  <c r="V546" i="3"/>
  <c r="A547" i="3"/>
  <c r="B547" i="3" s="1"/>
  <c r="I546" i="3"/>
  <c r="J546" i="3"/>
  <c r="M546" i="3"/>
  <c r="N546" i="3" s="1"/>
  <c r="W546" i="3" l="1"/>
  <c r="L546" i="3"/>
  <c r="AC547" i="3"/>
  <c r="AD547" i="3"/>
  <c r="P547" i="3"/>
  <c r="Q547" i="3" s="1"/>
  <c r="R547" i="3" s="1"/>
  <c r="S547" i="3" s="1"/>
  <c r="AA547" i="3"/>
  <c r="Z547" i="3"/>
  <c r="U546" i="3" l="1"/>
  <c r="Y545" i="3"/>
  <c r="T547" i="3"/>
  <c r="AG547" i="3" s="1"/>
  <c r="E547" i="3" l="1"/>
  <c r="H547" i="3" s="1"/>
  <c r="K547" i="3" s="1"/>
  <c r="AE547" i="3" s="1"/>
  <c r="D547" i="3"/>
  <c r="G547" i="3" s="1"/>
  <c r="AH547" i="3"/>
  <c r="F547" i="3" l="1"/>
  <c r="I547" i="3"/>
  <c r="J547" i="3"/>
  <c r="M547" i="3"/>
  <c r="N547" i="3" s="1"/>
  <c r="V547" i="3"/>
  <c r="A548" i="3"/>
  <c r="B548" i="3" s="1"/>
  <c r="W547" i="3" l="1"/>
  <c r="L547" i="3"/>
  <c r="Z548" i="3"/>
  <c r="AA548" i="3"/>
  <c r="P548" i="3"/>
  <c r="Q548" i="3" s="1"/>
  <c r="R548" i="3" s="1"/>
  <c r="S548" i="3" s="1"/>
  <c r="AC548" i="3"/>
  <c r="AD548" i="3"/>
  <c r="U547" i="3" l="1"/>
  <c r="Y546" i="3"/>
  <c r="T548" i="3"/>
  <c r="E548" i="3" l="1"/>
  <c r="H548" i="3" s="1"/>
  <c r="K548" i="3" s="1"/>
  <c r="AE548" i="3" s="1"/>
  <c r="D548" i="3"/>
  <c r="AG548" i="3"/>
  <c r="AH548" i="3"/>
  <c r="V548" i="3" l="1"/>
  <c r="A549" i="3"/>
  <c r="B549" i="3" s="1"/>
  <c r="F548" i="3"/>
  <c r="G548" i="3"/>
  <c r="I548" i="3" l="1"/>
  <c r="W548" i="3" s="1"/>
  <c r="J548" i="3"/>
  <c r="M548" i="3"/>
  <c r="N548" i="3" s="1"/>
  <c r="P549" i="3"/>
  <c r="Q549" i="3" s="1"/>
  <c r="R549" i="3" s="1"/>
  <c r="S549" i="3" s="1"/>
  <c r="AC549" i="3"/>
  <c r="AA549" i="3"/>
  <c r="Z549" i="3"/>
  <c r="AD549" i="3"/>
  <c r="T549" i="3" l="1"/>
  <c r="L548" i="3"/>
  <c r="AH549" i="3" l="1"/>
  <c r="U548" i="3"/>
  <c r="E549" i="3" s="1"/>
  <c r="H549" i="3" s="1"/>
  <c r="AG549" i="3"/>
  <c r="Y547" i="3"/>
  <c r="K549" i="3" l="1"/>
  <c r="AE549" i="3" s="1"/>
  <c r="D549" i="3"/>
  <c r="V549" i="3" l="1"/>
  <c r="A550" i="3"/>
  <c r="B550" i="3" s="1"/>
  <c r="F549" i="3"/>
  <c r="G549" i="3"/>
  <c r="I549" i="3" l="1"/>
  <c r="W549" i="3" s="1"/>
  <c r="J549" i="3"/>
  <c r="M549" i="3"/>
  <c r="N549" i="3" s="1"/>
  <c r="P550" i="3"/>
  <c r="Q550" i="3" s="1"/>
  <c r="R550" i="3" s="1"/>
  <c r="S550" i="3" s="1"/>
  <c r="AA550" i="3"/>
  <c r="AC550" i="3"/>
  <c r="Z550" i="3"/>
  <c r="AD550" i="3"/>
  <c r="T550" i="3" l="1"/>
  <c r="L549" i="3"/>
  <c r="U549" i="3" l="1"/>
  <c r="D550" i="3" s="1"/>
  <c r="AH550" i="3"/>
  <c r="AG550" i="3"/>
  <c r="Y548" i="3"/>
  <c r="E550" i="3" l="1"/>
  <c r="H550" i="3" s="1"/>
  <c r="K550" i="3" s="1"/>
  <c r="AE550" i="3" s="1"/>
  <c r="G550" i="3"/>
  <c r="F550" i="3" l="1"/>
  <c r="I550" i="3"/>
  <c r="J550" i="3"/>
  <c r="M550" i="3"/>
  <c r="N550" i="3" s="1"/>
  <c r="V550" i="3"/>
  <c r="A551" i="3"/>
  <c r="B551" i="3" s="1"/>
  <c r="W550" i="3" l="1"/>
  <c r="L550" i="3"/>
  <c r="AD551" i="3"/>
  <c r="P551" i="3"/>
  <c r="Q551" i="3" s="1"/>
  <c r="R551" i="3" s="1"/>
  <c r="S551" i="3" s="1"/>
  <c r="AC551" i="3"/>
  <c r="AA551" i="3"/>
  <c r="Z551" i="3"/>
  <c r="T551" i="3" l="1"/>
  <c r="AG551" i="3" s="1"/>
  <c r="U550" i="3"/>
  <c r="Y549" i="3"/>
  <c r="D551" i="3" l="1"/>
  <c r="G551" i="3" s="1"/>
  <c r="AH551" i="3"/>
  <c r="E551" i="3"/>
  <c r="H551" i="3" s="1"/>
  <c r="F551" i="3" l="1"/>
  <c r="I551" i="3"/>
  <c r="J551" i="3"/>
  <c r="M551" i="3"/>
  <c r="N551" i="3" s="1"/>
  <c r="K551" i="3"/>
  <c r="AE551" i="3" s="1"/>
  <c r="V551" i="3" l="1"/>
  <c r="W551" i="3" s="1"/>
  <c r="A552" i="3"/>
  <c r="B552" i="3" s="1"/>
  <c r="L551" i="3"/>
  <c r="U551" i="3" l="1"/>
  <c r="Y550" i="3"/>
  <c r="AA552" i="3"/>
  <c r="P552" i="3"/>
  <c r="Q552" i="3" s="1"/>
  <c r="R552" i="3" s="1"/>
  <c r="S552" i="3" s="1"/>
  <c r="AC552" i="3"/>
  <c r="Z552" i="3"/>
  <c r="AD552" i="3"/>
  <c r="T552" i="3" l="1"/>
  <c r="D552" i="3" s="1"/>
  <c r="AG552" i="3" l="1"/>
  <c r="AH552" i="3"/>
  <c r="E552" i="3"/>
  <c r="H552" i="3" s="1"/>
  <c r="K552" i="3" s="1"/>
  <c r="AE552" i="3" s="1"/>
  <c r="G552" i="3"/>
  <c r="F552" i="3" l="1"/>
  <c r="I552" i="3"/>
  <c r="J552" i="3"/>
  <c r="M552" i="3"/>
  <c r="N552" i="3" s="1"/>
  <c r="V552" i="3"/>
  <c r="A553" i="3"/>
  <c r="B553" i="3" s="1"/>
  <c r="W552" i="3" l="1"/>
  <c r="L552" i="3"/>
  <c r="P553" i="3"/>
  <c r="Q553" i="3" s="1"/>
  <c r="R553" i="3" s="1"/>
  <c r="S553" i="3" s="1"/>
  <c r="Z553" i="3"/>
  <c r="AC553" i="3"/>
  <c r="AA553" i="3"/>
  <c r="AD553" i="3"/>
  <c r="T553" i="3" l="1"/>
  <c r="U552" i="3"/>
  <c r="Y551" i="3"/>
  <c r="D553" i="3" l="1"/>
  <c r="G553" i="3" s="1"/>
  <c r="AH553" i="3"/>
  <c r="AG553" i="3"/>
  <c r="E553" i="3"/>
  <c r="H553" i="3" s="1"/>
  <c r="K553" i="3" l="1"/>
  <c r="AE553" i="3" s="1"/>
  <c r="F553" i="3"/>
  <c r="I553" i="3"/>
  <c r="J553" i="3"/>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AD555" i="3"/>
  <c r="L554" i="3" l="1"/>
  <c r="T555" i="3"/>
  <c r="U554" i="3" l="1"/>
  <c r="E555" i="3" s="1"/>
  <c r="H555" i="3" s="1"/>
  <c r="AG555" i="3"/>
  <c r="AH555" i="3"/>
  <c r="Y553" i="3"/>
  <c r="K555" i="3" l="1"/>
  <c r="AE555" i="3" s="1"/>
  <c r="D555" i="3"/>
  <c r="F555" i="3" l="1"/>
  <c r="G555" i="3"/>
  <c r="V555" i="3"/>
  <c r="A556" i="3"/>
  <c r="B556" i="3" s="1"/>
  <c r="P556" i="3" l="1"/>
  <c r="Q556" i="3" s="1"/>
  <c r="R556" i="3" s="1"/>
  <c r="S556" i="3" s="1"/>
  <c r="AA556" i="3"/>
  <c r="AD556" i="3"/>
  <c r="Z556" i="3"/>
  <c r="AC556" i="3"/>
  <c r="I555" i="3"/>
  <c r="W555" i="3" s="1"/>
  <c r="J555" i="3"/>
  <c r="M555" i="3"/>
  <c r="N555" i="3" s="1"/>
  <c r="T556" i="3" l="1"/>
  <c r="L555" i="3"/>
  <c r="AH556" i="3" l="1"/>
  <c r="U555" i="3"/>
  <c r="D556" i="3" s="1"/>
  <c r="AG556" i="3"/>
  <c r="Y554" i="3"/>
  <c r="E556" i="3" l="1"/>
  <c r="H556" i="3" s="1"/>
  <c r="K556" i="3" s="1"/>
  <c r="AE556" i="3" s="1"/>
  <c r="G556" i="3"/>
  <c r="F556" i="3" l="1"/>
  <c r="I556" i="3"/>
  <c r="J556" i="3"/>
  <c r="M556" i="3"/>
  <c r="N556" i="3" s="1"/>
  <c r="V556" i="3"/>
  <c r="A557" i="3"/>
  <c r="B557" i="3" s="1"/>
  <c r="W556" i="3" l="1"/>
  <c r="L556" i="3"/>
  <c r="AD557" i="3"/>
  <c r="P557" i="3"/>
  <c r="Q557" i="3" s="1"/>
  <c r="R557" i="3" s="1"/>
  <c r="S557" i="3" s="1"/>
  <c r="AA557" i="3"/>
  <c r="AC557" i="3"/>
  <c r="Z557" i="3"/>
  <c r="U556" i="3" l="1"/>
  <c r="Y555" i="3"/>
  <c r="T557" i="3"/>
  <c r="AH557" i="3" s="1"/>
  <c r="D557" i="3" l="1"/>
  <c r="G557" i="3" s="1"/>
  <c r="AG557" i="3"/>
  <c r="E557" i="3"/>
  <c r="H557" i="3" s="1"/>
  <c r="K557" i="3" s="1"/>
  <c r="AE557" i="3" s="1"/>
  <c r="F557" i="3" l="1"/>
  <c r="I557" i="3"/>
  <c r="J557" i="3"/>
  <c r="M557" i="3"/>
  <c r="N557" i="3" s="1"/>
  <c r="V557" i="3"/>
  <c r="A558" i="3"/>
  <c r="B558" i="3" s="1"/>
  <c r="W557" i="3" l="1"/>
  <c r="L557" i="3"/>
  <c r="AA558" i="3"/>
  <c r="AD558" i="3"/>
  <c r="P558" i="3"/>
  <c r="Q558" i="3" s="1"/>
  <c r="R558" i="3" s="1"/>
  <c r="S558" i="3" s="1"/>
  <c r="Z558" i="3"/>
  <c r="AC558" i="3"/>
  <c r="T558" i="3" l="1"/>
  <c r="AG558" i="3" s="1"/>
  <c r="U557" i="3"/>
  <c r="Y556" i="3"/>
  <c r="E558" i="3" l="1"/>
  <c r="H558" i="3" s="1"/>
  <c r="AH558" i="3"/>
  <c r="D558" i="3"/>
  <c r="F558" i="3" l="1"/>
  <c r="G558" i="3"/>
  <c r="K558" i="3"/>
  <c r="AE558" i="3" s="1"/>
  <c r="I558" i="3" l="1"/>
  <c r="J558" i="3"/>
  <c r="M558" i="3"/>
  <c r="N558" i="3" s="1"/>
  <c r="V558" i="3"/>
  <c r="A559" i="3"/>
  <c r="B559" i="3" s="1"/>
  <c r="W558" i="3" l="1"/>
  <c r="L558" i="3"/>
  <c r="AC559" i="3"/>
  <c r="P559" i="3"/>
  <c r="Q559" i="3" s="1"/>
  <c r="R559" i="3" s="1"/>
  <c r="S559" i="3" s="1"/>
  <c r="AA559" i="3"/>
  <c r="Z559" i="3"/>
  <c r="AD559" i="3"/>
  <c r="T559" i="3" l="1"/>
  <c r="U558" i="3"/>
  <c r="Y557" i="3"/>
  <c r="E559" i="3" l="1"/>
  <c r="H559" i="3" s="1"/>
  <c r="K559" i="3" s="1"/>
  <c r="AE559" i="3" s="1"/>
  <c r="AH559" i="3"/>
  <c r="AG559" i="3"/>
  <c r="D559" i="3"/>
  <c r="V559" i="3" l="1"/>
  <c r="A560" i="3"/>
  <c r="B560" i="3" s="1"/>
  <c r="F559" i="3"/>
  <c r="G559" i="3"/>
  <c r="I559" i="3" l="1"/>
  <c r="W559" i="3" s="1"/>
  <c r="J559" i="3"/>
  <c r="M559" i="3"/>
  <c r="N559" i="3" s="1"/>
  <c r="AD560" i="3"/>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M560" i="3"/>
  <c r="N560" i="3" s="1"/>
  <c r="W560" i="3" l="1"/>
  <c r="L560" i="3"/>
  <c r="AA561" i="3"/>
  <c r="P561" i="3"/>
  <c r="Q561" i="3" s="1"/>
  <c r="R561" i="3" s="1"/>
  <c r="S561" i="3" s="1"/>
  <c r="Z561" i="3"/>
  <c r="AD561" i="3"/>
  <c r="AC561" i="3"/>
  <c r="U560" i="3" l="1"/>
  <c r="Y559" i="3"/>
  <c r="T561" i="3"/>
  <c r="E561" i="3" l="1"/>
  <c r="H561" i="3" s="1"/>
  <c r="K561" i="3" s="1"/>
  <c r="AE561" i="3" s="1"/>
  <c r="D561" i="3"/>
  <c r="AH561" i="3"/>
  <c r="AG561" i="3"/>
  <c r="F561" i="3" l="1"/>
  <c r="G561" i="3"/>
  <c r="M561" i="3" s="1"/>
  <c r="N561" i="3" s="1"/>
  <c r="V561" i="3"/>
  <c r="A562" i="3"/>
  <c r="B562" i="3" s="1"/>
  <c r="I561" i="3" l="1"/>
  <c r="W561" i="3" s="1"/>
  <c r="J561" i="3"/>
  <c r="L561" i="3" s="1"/>
  <c r="Z562" i="3"/>
  <c r="AA562" i="3"/>
  <c r="AD562" i="3"/>
  <c r="P562" i="3"/>
  <c r="Q562" i="3" s="1"/>
  <c r="R562" i="3" s="1"/>
  <c r="S562" i="3" s="1"/>
  <c r="AC562" i="3"/>
  <c r="U561" i="3" l="1"/>
  <c r="Y560" i="3"/>
  <c r="T562" i="3"/>
  <c r="AH562" i="3" s="1"/>
  <c r="AG562" i="3" l="1"/>
  <c r="E562" i="3"/>
  <c r="H562" i="3" s="1"/>
  <c r="K562" i="3" s="1"/>
  <c r="AE562" i="3" s="1"/>
  <c r="D562" i="3"/>
  <c r="F562" i="3" l="1"/>
  <c r="G562" i="3"/>
  <c r="J562" i="3" s="1"/>
  <c r="V562" i="3"/>
  <c r="A563" i="3"/>
  <c r="B563" i="3" s="1"/>
  <c r="M562" i="3" l="1"/>
  <c r="N562" i="3" s="1"/>
  <c r="I562" i="3"/>
  <c r="W562" i="3" s="1"/>
  <c r="L562" i="3"/>
  <c r="Z563" i="3"/>
  <c r="P563" i="3"/>
  <c r="Q563" i="3" s="1"/>
  <c r="R563" i="3" s="1"/>
  <c r="S563" i="3" s="1"/>
  <c r="AC563" i="3"/>
  <c r="AA563" i="3"/>
  <c r="AD563" i="3"/>
  <c r="U562" i="3" l="1"/>
  <c r="Y561" i="3"/>
  <c r="T563" i="3"/>
  <c r="AH563" i="3" s="1"/>
  <c r="AG563" i="3" l="1"/>
  <c r="D563" i="3"/>
  <c r="E563" i="3"/>
  <c r="H563" i="3" s="1"/>
  <c r="K563" i="3" s="1"/>
  <c r="AE563" i="3" s="1"/>
  <c r="F563" i="3" l="1"/>
  <c r="G563" i="3"/>
  <c r="M563" i="3" s="1"/>
  <c r="N563" i="3" s="1"/>
  <c r="V563" i="3"/>
  <c r="A564" i="3"/>
  <c r="B564" i="3" s="1"/>
  <c r="I563" i="3" l="1"/>
  <c r="W563" i="3" s="1"/>
  <c r="J563" i="3"/>
  <c r="L563" i="3" s="1"/>
  <c r="Z564" i="3"/>
  <c r="P564" i="3"/>
  <c r="Q564" i="3" s="1"/>
  <c r="R564" i="3" s="1"/>
  <c r="S564" i="3" s="1"/>
  <c r="AC564" i="3"/>
  <c r="AA564" i="3"/>
  <c r="U563" i="3" l="1"/>
  <c r="Y562" i="3"/>
  <c r="T564" i="3"/>
  <c r="AH564" i="3" s="1"/>
  <c r="D564" i="3" l="1"/>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AD565" i="3"/>
  <c r="U564" i="3" l="1"/>
  <c r="Y563" i="3"/>
  <c r="T565" i="3"/>
  <c r="E565" i="3" l="1"/>
  <c r="H565" i="3" s="1"/>
  <c r="K565" i="3" s="1"/>
  <c r="AE565" i="3" s="1"/>
  <c r="D565" i="3"/>
  <c r="AG565" i="3"/>
  <c r="AH565" i="3"/>
  <c r="V565" i="3" l="1"/>
  <c r="A566" i="3"/>
  <c r="B566" i="3" s="1"/>
  <c r="F565" i="3"/>
  <c r="G565" i="3"/>
  <c r="I565" i="3" l="1"/>
  <c r="W565" i="3" s="1"/>
  <c r="J565" i="3"/>
  <c r="M565" i="3"/>
  <c r="N565" i="3" s="1"/>
  <c r="AD566" i="3"/>
  <c r="Z566" i="3"/>
  <c r="AA566" i="3"/>
  <c r="P566" i="3"/>
  <c r="Q566" i="3" s="1"/>
  <c r="R566" i="3" s="1"/>
  <c r="S566" i="3" s="1"/>
  <c r="AC566" i="3"/>
  <c r="L565" i="3" l="1"/>
  <c r="T566" i="3"/>
  <c r="AG566" i="3" l="1"/>
  <c r="AH566" i="3"/>
  <c r="U565" i="3"/>
  <c r="D566" i="3" s="1"/>
  <c r="Y564" i="3"/>
  <c r="G566" i="3" l="1"/>
  <c r="E566" i="3"/>
  <c r="H566" i="3" s="1"/>
  <c r="F566" i="3" l="1"/>
  <c r="I566" i="3"/>
  <c r="J566" i="3"/>
  <c r="M566" i="3"/>
  <c r="N566" i="3" s="1"/>
  <c r="K566" i="3"/>
  <c r="AE566" i="3" s="1"/>
  <c r="V566" i="3" l="1"/>
  <c r="W566" i="3" s="1"/>
  <c r="A567" i="3"/>
  <c r="B567" i="3" s="1"/>
  <c r="L566" i="3"/>
  <c r="U566" i="3" l="1"/>
  <c r="Y565" i="3"/>
  <c r="P567" i="3"/>
  <c r="Q567" i="3" s="1"/>
  <c r="R567" i="3" s="1"/>
  <c r="S567" i="3" s="1"/>
  <c r="AA567" i="3"/>
  <c r="AD567" i="3"/>
  <c r="Z567" i="3"/>
  <c r="AC567" i="3"/>
  <c r="T567" i="3" l="1"/>
  <c r="AG567" i="3" s="1"/>
  <c r="AH567" i="3" l="1"/>
  <c r="E567" i="3"/>
  <c r="H567" i="3" s="1"/>
  <c r="K567" i="3" s="1"/>
  <c r="AE567" i="3" s="1"/>
  <c r="D567" i="3"/>
  <c r="G567" i="3" s="1"/>
  <c r="F567" i="3" l="1"/>
  <c r="I567" i="3"/>
  <c r="J567" i="3"/>
  <c r="M567" i="3"/>
  <c r="N567" i="3" s="1"/>
  <c r="V567" i="3"/>
  <c r="A568" i="3"/>
  <c r="B568" i="3" s="1"/>
  <c r="W567" i="3" l="1"/>
  <c r="L567" i="3"/>
  <c r="AC568" i="3"/>
  <c r="AD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M568" i="3"/>
  <c r="N568" i="3" s="1"/>
  <c r="L568" i="3" l="1"/>
  <c r="W568" i="3"/>
  <c r="AA569" i="3"/>
  <c r="AD569" i="3"/>
  <c r="P569" i="3"/>
  <c r="Q569" i="3" s="1"/>
  <c r="R569" i="3" s="1"/>
  <c r="S569" i="3" s="1"/>
  <c r="AC569" i="3"/>
  <c r="Z569" i="3"/>
  <c r="T569" i="3" l="1"/>
  <c r="AH569" i="3" s="1"/>
  <c r="U568" i="3"/>
  <c r="Y567" i="3"/>
  <c r="D569" i="3" l="1"/>
  <c r="G569" i="3" s="1"/>
  <c r="AG569" i="3"/>
  <c r="E569" i="3"/>
  <c r="H569" i="3" s="1"/>
  <c r="F569" i="3" l="1"/>
  <c r="I569" i="3"/>
  <c r="J569" i="3"/>
  <c r="M569" i="3"/>
  <c r="N569" i="3" s="1"/>
  <c r="K569" i="3"/>
  <c r="AE569" i="3" s="1"/>
  <c r="L569" i="3" l="1"/>
  <c r="V569" i="3"/>
  <c r="W569" i="3" s="1"/>
  <c r="A570" i="3"/>
  <c r="B570" i="3" s="1"/>
  <c r="AC570" i="3" l="1"/>
  <c r="P570" i="3"/>
  <c r="Q570" i="3" s="1"/>
  <c r="R570" i="3" s="1"/>
  <c r="S570" i="3" s="1"/>
  <c r="AD570" i="3"/>
  <c r="Z570" i="3"/>
  <c r="AA570" i="3"/>
  <c r="U569" i="3"/>
  <c r="Y568" i="3"/>
  <c r="T570" i="3" l="1"/>
  <c r="D570" i="3" l="1"/>
  <c r="E570" i="3"/>
  <c r="H570" i="3" s="1"/>
  <c r="AG570" i="3"/>
  <c r="AH570" i="3"/>
  <c r="F570" i="3" l="1"/>
  <c r="G570" i="3"/>
  <c r="K570" i="3"/>
  <c r="AE570" i="3" s="1"/>
  <c r="V570" i="3" l="1"/>
  <c r="A571" i="3"/>
  <c r="B571" i="3" s="1"/>
  <c r="I570" i="3"/>
  <c r="J570" i="3"/>
  <c r="M570" i="3"/>
  <c r="N570" i="3" s="1"/>
  <c r="W570" i="3" l="1"/>
  <c r="L570" i="3"/>
  <c r="P571" i="3"/>
  <c r="Q571" i="3" s="1"/>
  <c r="R571" i="3" s="1"/>
  <c r="S571" i="3" s="1"/>
  <c r="AD571" i="3"/>
  <c r="AA571" i="3"/>
  <c r="Z571" i="3"/>
  <c r="AC571" i="3"/>
  <c r="U570" i="3" l="1"/>
  <c r="Y569" i="3"/>
  <c r="T571" i="3"/>
  <c r="D571" i="3" l="1"/>
  <c r="G571" i="3" s="1"/>
  <c r="AG571" i="3"/>
  <c r="AH571" i="3"/>
  <c r="E571" i="3"/>
  <c r="H571" i="3" s="1"/>
  <c r="K571" i="3" s="1"/>
  <c r="AE571" i="3" s="1"/>
  <c r="F571" i="3" l="1"/>
  <c r="V571" i="3"/>
  <c r="A572" i="3"/>
  <c r="B572" i="3" s="1"/>
  <c r="I571" i="3"/>
  <c r="J571" i="3"/>
  <c r="M571" i="3"/>
  <c r="N571" i="3" s="1"/>
  <c r="W571" i="3" l="1"/>
  <c r="L571" i="3"/>
  <c r="AC572" i="3"/>
  <c r="AD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M572" i="3"/>
  <c r="N572" i="3" s="1"/>
  <c r="W572" i="3" l="1"/>
  <c r="L572" i="3"/>
  <c r="P573" i="3"/>
  <c r="Q573" i="3" s="1"/>
  <c r="R573" i="3" s="1"/>
  <c r="S573" i="3" s="1"/>
  <c r="Z573" i="3"/>
  <c r="AC573" i="3"/>
  <c r="AA573" i="3"/>
  <c r="AD573" i="3"/>
  <c r="U572" i="3" l="1"/>
  <c r="Y571" i="3"/>
  <c r="T573" i="3"/>
  <c r="E573" i="3" l="1"/>
  <c r="H573" i="3" s="1"/>
  <c r="K573" i="3" s="1"/>
  <c r="AE573" i="3" s="1"/>
  <c r="D573" i="3"/>
  <c r="AH573" i="3"/>
  <c r="AG573" i="3"/>
  <c r="F573" i="3" l="1"/>
  <c r="G573" i="3"/>
  <c r="I573" i="3" s="1"/>
  <c r="V573" i="3"/>
  <c r="A574" i="3"/>
  <c r="B574" i="3" s="1"/>
  <c r="J573" i="3" l="1"/>
  <c r="L573" i="3" s="1"/>
  <c r="M573" i="3"/>
  <c r="N573" i="3" s="1"/>
  <c r="W573" i="3"/>
  <c r="AA574" i="3"/>
  <c r="Z574" i="3"/>
  <c r="P574" i="3"/>
  <c r="Q574" i="3" s="1"/>
  <c r="R574" i="3" s="1"/>
  <c r="S574" i="3" s="1"/>
  <c r="AC574" i="3"/>
  <c r="U573" i="3" l="1"/>
  <c r="Y572" i="3"/>
  <c r="T574" i="3"/>
  <c r="AH574" i="3" s="1"/>
  <c r="D574" i="3" l="1"/>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AD575" i="3"/>
  <c r="T575" i="3" l="1"/>
  <c r="AH575" i="3" s="1"/>
  <c r="AG575" i="3" l="1"/>
  <c r="E575" i="3"/>
  <c r="H575" i="3" s="1"/>
  <c r="D575" i="3"/>
  <c r="K575" i="3" l="1"/>
  <c r="AE575" i="3" s="1"/>
  <c r="F575" i="3"/>
  <c r="G575" i="3"/>
  <c r="V575" i="3" l="1"/>
  <c r="A576" i="3"/>
  <c r="B576" i="3" s="1"/>
  <c r="I575" i="3"/>
  <c r="J575" i="3"/>
  <c r="M575" i="3"/>
  <c r="N575" i="3" s="1"/>
  <c r="W575" i="3" l="1"/>
  <c r="L575" i="3"/>
  <c r="AA576" i="3"/>
  <c r="P576" i="3"/>
  <c r="Q576" i="3" s="1"/>
  <c r="R576" i="3" s="1"/>
  <c r="S576" i="3" s="1"/>
  <c r="AD576" i="3"/>
  <c r="Z576" i="3"/>
  <c r="AC576" i="3"/>
  <c r="U575" i="3" l="1"/>
  <c r="Y574" i="3"/>
  <c r="T576" i="3"/>
  <c r="E576" i="3" l="1"/>
  <c r="H576" i="3" s="1"/>
  <c r="K576" i="3" s="1"/>
  <c r="AE576" i="3" s="1"/>
  <c r="AH576" i="3"/>
  <c r="D576" i="3"/>
  <c r="G576" i="3" s="1"/>
  <c r="AG576" i="3"/>
  <c r="F576" i="3" l="1"/>
  <c r="V576" i="3"/>
  <c r="A577" i="3"/>
  <c r="B577" i="3" s="1"/>
  <c r="I576" i="3"/>
  <c r="J576" i="3"/>
  <c r="M576" i="3"/>
  <c r="N576" i="3" s="1"/>
  <c r="W576" i="3" l="1"/>
  <c r="L576" i="3"/>
  <c r="P577" i="3"/>
  <c r="Q577" i="3" s="1"/>
  <c r="R577" i="3" s="1"/>
  <c r="S577" i="3" s="1"/>
  <c r="AD577" i="3"/>
  <c r="AC577" i="3"/>
  <c r="AA577" i="3"/>
  <c r="Z577" i="3"/>
  <c r="U576" i="3" l="1"/>
  <c r="Y575" i="3"/>
  <c r="T577" i="3"/>
  <c r="AH577" i="3" s="1"/>
  <c r="E577" i="3" l="1"/>
  <c r="H577" i="3" s="1"/>
  <c r="K577" i="3" s="1"/>
  <c r="AE577" i="3" s="1"/>
  <c r="AG577" i="3"/>
  <c r="D577" i="3"/>
  <c r="F577" i="3" l="1"/>
  <c r="G577" i="3"/>
  <c r="J577" i="3" s="1"/>
  <c r="V577" i="3"/>
  <c r="A578" i="3"/>
  <c r="B578" i="3" s="1"/>
  <c r="M577" i="3" l="1"/>
  <c r="N577" i="3" s="1"/>
  <c r="I577" i="3"/>
  <c r="W577" i="3" s="1"/>
  <c r="L577" i="3"/>
  <c r="AC578" i="3"/>
  <c r="AD578" i="3"/>
  <c r="P578" i="3"/>
  <c r="Q578" i="3" s="1"/>
  <c r="R578" i="3" s="1"/>
  <c r="S578" i="3" s="1"/>
  <c r="Z578" i="3"/>
  <c r="AA578" i="3"/>
  <c r="U577" i="3" l="1"/>
  <c r="Y576" i="3"/>
  <c r="T578" i="3"/>
  <c r="AG578" i="3" s="1"/>
  <c r="D578" i="3" l="1"/>
  <c r="G578" i="3" s="1"/>
  <c r="AH578" i="3"/>
  <c r="E578" i="3"/>
  <c r="H578" i="3" s="1"/>
  <c r="K578" i="3" s="1"/>
  <c r="AE578" i="3" s="1"/>
  <c r="F578" i="3" l="1"/>
  <c r="I578" i="3"/>
  <c r="J578" i="3"/>
  <c r="M578" i="3"/>
  <c r="N578" i="3" s="1"/>
  <c r="V578" i="3"/>
  <c r="A579" i="3"/>
  <c r="B579" i="3" s="1"/>
  <c r="W578" i="3" l="1"/>
  <c r="L578" i="3"/>
  <c r="AC579" i="3"/>
  <c r="Z579" i="3"/>
  <c r="P579" i="3"/>
  <c r="Q579" i="3" s="1"/>
  <c r="R579" i="3" s="1"/>
  <c r="S579" i="3" s="1"/>
  <c r="AD579" i="3"/>
  <c r="AA579" i="3"/>
  <c r="U578" i="3" l="1"/>
  <c r="Y577" i="3"/>
  <c r="T579" i="3"/>
  <c r="AG579" i="3" s="1"/>
  <c r="E579" i="3" l="1"/>
  <c r="H579" i="3" s="1"/>
  <c r="K579" i="3" s="1"/>
  <c r="AE579" i="3" s="1"/>
  <c r="AH579" i="3"/>
  <c r="D579" i="3"/>
  <c r="F579" i="3" l="1"/>
  <c r="G579" i="3"/>
  <c r="M579" i="3" s="1"/>
  <c r="N579" i="3" s="1"/>
  <c r="V579" i="3"/>
  <c r="A580" i="3"/>
  <c r="B580" i="3" s="1"/>
  <c r="I579" i="3" l="1"/>
  <c r="W579" i="3" s="1"/>
  <c r="J579" i="3"/>
  <c r="L579" i="3" s="1"/>
  <c r="AD580" i="3"/>
  <c r="P580" i="3"/>
  <c r="Q580" i="3" s="1"/>
  <c r="R580" i="3" s="1"/>
  <c r="S580" i="3" s="1"/>
  <c r="AA580" i="3"/>
  <c r="AC580" i="3"/>
  <c r="Z580" i="3"/>
  <c r="U579" i="3" l="1"/>
  <c r="Y578" i="3"/>
  <c r="T580" i="3"/>
  <c r="AH580" i="3" s="1"/>
  <c r="E580" i="3" l="1"/>
  <c r="H580" i="3" s="1"/>
  <c r="D580" i="3"/>
  <c r="AG580" i="3"/>
  <c r="K580" i="3" l="1"/>
  <c r="AE580" i="3" s="1"/>
  <c r="F580" i="3"/>
  <c r="G580" i="3"/>
  <c r="I580" i="3" l="1"/>
  <c r="J580" i="3"/>
  <c r="M580" i="3"/>
  <c r="N580" i="3" s="1"/>
  <c r="V580" i="3"/>
  <c r="A581" i="3"/>
  <c r="B581" i="3" s="1"/>
  <c r="W580" i="3" l="1"/>
  <c r="P581" i="3"/>
  <c r="Q581" i="3" s="1"/>
  <c r="R581" i="3" s="1"/>
  <c r="S581" i="3" s="1"/>
  <c r="Z581" i="3"/>
  <c r="AA581" i="3"/>
  <c r="AC581" i="3"/>
  <c r="AD581" i="3"/>
  <c r="L580" i="3"/>
  <c r="T581" i="3" l="1"/>
  <c r="AH581" i="3" s="1"/>
  <c r="U580" i="3"/>
  <c r="Y579" i="3"/>
  <c r="D581" i="3" l="1"/>
  <c r="G581" i="3" s="1"/>
  <c r="AG581" i="3"/>
  <c r="E581" i="3"/>
  <c r="H581" i="3" s="1"/>
  <c r="I581" i="3" l="1"/>
  <c r="J581" i="3"/>
  <c r="M581" i="3"/>
  <c r="N581" i="3" s="1"/>
  <c r="F581" i="3"/>
  <c r="K581" i="3"/>
  <c r="AE581" i="3" s="1"/>
  <c r="L581" i="3" l="1"/>
  <c r="V581" i="3"/>
  <c r="W581" i="3" s="1"/>
  <c r="A582" i="3"/>
  <c r="B582" i="3" s="1"/>
  <c r="P582" i="3" l="1"/>
  <c r="Q582" i="3" s="1"/>
  <c r="R582" i="3" s="1"/>
  <c r="S582" i="3" s="1"/>
  <c r="Z582" i="3"/>
  <c r="AD582" i="3"/>
  <c r="AC582" i="3"/>
  <c r="AA582" i="3"/>
  <c r="U581" i="3"/>
  <c r="Y580" i="3"/>
  <c r="T582" i="3" l="1"/>
  <c r="AH582" i="3" s="1"/>
  <c r="E582" i="3" l="1"/>
  <c r="H582" i="3" s="1"/>
  <c r="K582" i="3" s="1"/>
  <c r="AE582" i="3" s="1"/>
  <c r="AG582" i="3"/>
  <c r="D582" i="3"/>
  <c r="V582" i="3" l="1"/>
  <c r="A583" i="3"/>
  <c r="B583" i="3" s="1"/>
  <c r="F582" i="3"/>
  <c r="G582" i="3"/>
  <c r="I582" i="3" l="1"/>
  <c r="W582" i="3" s="1"/>
  <c r="J582" i="3"/>
  <c r="M582" i="3"/>
  <c r="N582" i="3" s="1"/>
  <c r="AD583" i="3"/>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AD587" i="3"/>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M587" i="3"/>
  <c r="N587" i="3" s="1"/>
  <c r="L587" i="3" l="1"/>
  <c r="V587" i="3"/>
  <c r="W587" i="3" s="1"/>
  <c r="A588" i="3"/>
  <c r="B588" i="3" s="1"/>
  <c r="U587" i="3" l="1"/>
  <c r="Y586" i="3"/>
  <c r="P588" i="3"/>
  <c r="Q588" i="3" s="1"/>
  <c r="R588" i="3" s="1"/>
  <c r="S588" i="3" s="1"/>
  <c r="AD588" i="3"/>
  <c r="Z588" i="3"/>
  <c r="AC588" i="3"/>
  <c r="AA588" i="3"/>
  <c r="T588" i="3" l="1"/>
  <c r="AH588" i="3" s="1"/>
  <c r="E588" i="3" l="1"/>
  <c r="H588" i="3" s="1"/>
  <c r="K588" i="3" s="1"/>
  <c r="AE588" i="3" s="1"/>
  <c r="AG588" i="3"/>
  <c r="D588" i="3"/>
  <c r="G588" i="3" s="1"/>
  <c r="F588" i="3" l="1"/>
  <c r="I588" i="3"/>
  <c r="J588" i="3"/>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AD595" i="3"/>
  <c r="T595" i="3" l="1"/>
  <c r="L594" i="3"/>
  <c r="AH595" i="3" l="1"/>
  <c r="U594" i="3"/>
  <c r="E595" i="3" s="1"/>
  <c r="H595" i="3" s="1"/>
  <c r="AG595" i="3"/>
  <c r="Y593" i="3"/>
  <c r="D595" i="3" l="1"/>
  <c r="G595" i="3" s="1"/>
  <c r="K595" i="3"/>
  <c r="AE595" i="3" s="1"/>
  <c r="F595" i="3" l="1"/>
  <c r="V595" i="3"/>
  <c r="A596" i="3"/>
  <c r="B596" i="3" s="1"/>
  <c r="I595" i="3"/>
  <c r="J595" i="3"/>
  <c r="M595" i="3"/>
  <c r="N595" i="3" s="1"/>
  <c r="W595" i="3" l="1"/>
  <c r="L595" i="3"/>
  <c r="P596" i="3"/>
  <c r="Q596" i="3" s="1"/>
  <c r="R596" i="3" s="1"/>
  <c r="S596" i="3" s="1"/>
  <c r="AA596" i="3"/>
  <c r="AC596" i="3"/>
  <c r="AD596" i="3"/>
  <c r="Z596" i="3"/>
  <c r="T596" i="3" l="1"/>
  <c r="AG596" i="3" s="1"/>
  <c r="U595" i="3"/>
  <c r="Y594" i="3"/>
  <c r="D596" i="3" l="1"/>
  <c r="E596" i="3"/>
  <c r="H596" i="3" s="1"/>
  <c r="AH596" i="3"/>
  <c r="F596" i="3" l="1"/>
  <c r="G596" i="3"/>
  <c r="K596" i="3"/>
  <c r="AE596" i="3" s="1"/>
  <c r="V596" i="3" l="1"/>
  <c r="A597" i="3"/>
  <c r="B597" i="3" s="1"/>
  <c r="I596" i="3"/>
  <c r="J596" i="3"/>
  <c r="M596" i="3"/>
  <c r="N596" i="3" s="1"/>
  <c r="W596" i="3" l="1"/>
  <c r="L596" i="3"/>
  <c r="Z597" i="3"/>
  <c r="P597" i="3"/>
  <c r="Q597" i="3" s="1"/>
  <c r="R597" i="3" s="1"/>
  <c r="S597" i="3" s="1"/>
  <c r="AA597" i="3"/>
  <c r="AC597" i="3"/>
  <c r="AD597" i="3"/>
  <c r="U596" i="3" l="1"/>
  <c r="Y595" i="3"/>
  <c r="T597" i="3"/>
  <c r="E597" i="3" l="1"/>
  <c r="H597" i="3" s="1"/>
  <c r="K597" i="3" s="1"/>
  <c r="AE597" i="3" s="1"/>
  <c r="AH597" i="3"/>
  <c r="AG597" i="3"/>
  <c r="D597" i="3"/>
  <c r="G597" i="3" s="1"/>
  <c r="F597" i="3" l="1"/>
  <c r="I597" i="3"/>
  <c r="J597" i="3"/>
  <c r="M597" i="3"/>
  <c r="N597" i="3" s="1"/>
  <c r="V597" i="3"/>
  <c r="A598" i="3"/>
  <c r="B598" i="3" s="1"/>
  <c r="W597" i="3" l="1"/>
  <c r="L597" i="3"/>
  <c r="AC598" i="3"/>
  <c r="P598" i="3"/>
  <c r="Q598" i="3" s="1"/>
  <c r="R598" i="3" s="1"/>
  <c r="S598" i="3" s="1"/>
  <c r="Z598" i="3"/>
  <c r="AA598" i="3"/>
  <c r="AD598" i="3"/>
  <c r="U597" i="3" l="1"/>
  <c r="Y596" i="3"/>
  <c r="T598" i="3"/>
  <c r="AG598" i="3" s="1"/>
  <c r="AH598" i="3" l="1"/>
  <c r="E598" i="3"/>
  <c r="H598" i="3" s="1"/>
  <c r="K598" i="3" s="1"/>
  <c r="AE598" i="3" s="1"/>
  <c r="D598" i="3"/>
  <c r="V598" i="3" l="1"/>
  <c r="A599" i="3"/>
  <c r="B599" i="3" s="1"/>
  <c r="F598" i="3"/>
  <c r="G598" i="3"/>
  <c r="I598" i="3" l="1"/>
  <c r="W598" i="3" s="1"/>
  <c r="J598" i="3"/>
  <c r="M598" i="3"/>
  <c r="N598" i="3" s="1"/>
  <c r="AC599" i="3"/>
  <c r="AA599" i="3"/>
  <c r="P599" i="3"/>
  <c r="Q599" i="3" s="1"/>
  <c r="R599" i="3" s="1"/>
  <c r="S599" i="3" s="1"/>
  <c r="AD599" i="3"/>
  <c r="Z599" i="3"/>
  <c r="T599" i="3" l="1"/>
  <c r="L598" i="3"/>
  <c r="U598" i="3" l="1"/>
  <c r="D599" i="3" s="1"/>
  <c r="AG599" i="3"/>
  <c r="AH599" i="3"/>
  <c r="Y597" i="3"/>
  <c r="G599" i="3" l="1"/>
  <c r="E599" i="3"/>
  <c r="H599" i="3" s="1"/>
  <c r="I599" i="3" l="1"/>
  <c r="J599" i="3"/>
  <c r="M599" i="3"/>
  <c r="N599" i="3" s="1"/>
  <c r="K599" i="3"/>
  <c r="AE599" i="3" s="1"/>
  <c r="F599" i="3"/>
  <c r="V599" i="3" l="1"/>
  <c r="W599" i="3" s="1"/>
  <c r="A600" i="3"/>
  <c r="B600" i="3" s="1"/>
  <c r="L599" i="3"/>
  <c r="U599" i="3" l="1"/>
  <c r="Y598" i="3"/>
  <c r="AC600" i="3"/>
  <c r="P600" i="3"/>
  <c r="Q600" i="3" s="1"/>
  <c r="R600" i="3" s="1"/>
  <c r="S600" i="3" s="1"/>
  <c r="Z600" i="3"/>
  <c r="AA600" i="3"/>
  <c r="AD600" i="3"/>
  <c r="T600" i="3" l="1"/>
  <c r="E600" i="3" s="1"/>
  <c r="H600" i="3" s="1"/>
  <c r="AH600" i="3" l="1"/>
  <c r="K600" i="3"/>
  <c r="AE600" i="3" s="1"/>
  <c r="AG600" i="3"/>
  <c r="D600" i="3"/>
  <c r="V600" i="3" l="1"/>
  <c r="A601" i="3"/>
  <c r="B601" i="3" s="1"/>
  <c r="F600" i="3"/>
  <c r="G600" i="3"/>
  <c r="I600" i="3" l="1"/>
  <c r="W600" i="3" s="1"/>
  <c r="J600" i="3"/>
  <c r="M600" i="3"/>
  <c r="N600" i="3" s="1"/>
  <c r="P601" i="3"/>
  <c r="Q601" i="3" s="1"/>
  <c r="R601" i="3" s="1"/>
  <c r="S601" i="3" s="1"/>
  <c r="AA601" i="3"/>
  <c r="AC601" i="3"/>
  <c r="Z601" i="3"/>
  <c r="AD601" i="3"/>
  <c r="T601" i="3" l="1"/>
  <c r="L600" i="3"/>
  <c r="AH601" i="3" l="1"/>
  <c r="U600" i="3"/>
  <c r="D601" i="3" s="1"/>
  <c r="AG601" i="3"/>
  <c r="Y599" i="3"/>
  <c r="E601" i="3" l="1"/>
  <c r="H601" i="3" s="1"/>
  <c r="K601" i="3" s="1"/>
  <c r="AE601" i="3" s="1"/>
  <c r="G601" i="3"/>
  <c r="F601" i="3" l="1"/>
  <c r="I601" i="3"/>
  <c r="J601" i="3"/>
  <c r="M601" i="3"/>
  <c r="N601" i="3" s="1"/>
  <c r="V601" i="3"/>
  <c r="A602" i="3"/>
  <c r="B602" i="3" s="1"/>
  <c r="W601" i="3" l="1"/>
  <c r="L601" i="3"/>
  <c r="P602" i="3"/>
  <c r="Q602" i="3" s="1"/>
  <c r="R602" i="3" s="1"/>
  <c r="S602" i="3" s="1"/>
  <c r="Z602" i="3"/>
  <c r="AC602" i="3"/>
  <c r="AD602" i="3"/>
  <c r="AA602" i="3"/>
  <c r="U601" i="3" l="1"/>
  <c r="Y600" i="3"/>
  <c r="T602" i="3"/>
  <c r="AG602" i="3" s="1"/>
  <c r="D602" i="3" l="1"/>
  <c r="E602" i="3"/>
  <c r="H602" i="3" s="1"/>
  <c r="AH602" i="3"/>
  <c r="K602" i="3" l="1"/>
  <c r="AE602" i="3" s="1"/>
  <c r="F602" i="3"/>
  <c r="G602" i="3"/>
  <c r="I602" i="3" l="1"/>
  <c r="J602" i="3"/>
  <c r="M602" i="3"/>
  <c r="N602" i="3" s="1"/>
  <c r="V602" i="3"/>
  <c r="A603" i="3"/>
  <c r="B603" i="3" s="1"/>
  <c r="W602" i="3" l="1"/>
  <c r="L602" i="3"/>
  <c r="AA603" i="3"/>
  <c r="AC603" i="3"/>
  <c r="AD603" i="3"/>
  <c r="Z603" i="3"/>
  <c r="P603" i="3"/>
  <c r="Q603" i="3" s="1"/>
  <c r="R603" i="3" s="1"/>
  <c r="S603" i="3" s="1"/>
  <c r="U602" i="3" l="1"/>
  <c r="Y601" i="3"/>
  <c r="T603" i="3"/>
  <c r="AG603" i="3" s="1"/>
  <c r="AH603" i="3" l="1"/>
  <c r="D603" i="3"/>
  <c r="G603" i="3" s="1"/>
  <c r="E603" i="3"/>
  <c r="H603" i="3" s="1"/>
  <c r="K603" i="3" s="1"/>
  <c r="AE603" i="3" s="1"/>
  <c r="F603" i="3" l="1"/>
  <c r="I603" i="3"/>
  <c r="J603" i="3"/>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D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M607" i="3"/>
  <c r="N607" i="3" s="1"/>
  <c r="AD608" i="3"/>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AD617" i="3"/>
  <c r="P617" i="3"/>
  <c r="Q617" i="3" s="1"/>
  <c r="R617" i="3" s="1"/>
  <c r="S617" i="3" s="1"/>
  <c r="AA617" i="3"/>
  <c r="U616" i="3" l="1"/>
  <c r="Y615" i="3"/>
  <c r="T617" i="3"/>
  <c r="AG617" i="3" s="1"/>
  <c r="D617" i="3" l="1"/>
  <c r="G617" i="3" s="1"/>
  <c r="E617" i="3"/>
  <c r="H617" i="3" s="1"/>
  <c r="K617" i="3" s="1"/>
  <c r="AE617" i="3" s="1"/>
  <c r="AH617" i="3"/>
  <c r="F617" i="3" l="1"/>
  <c r="I617" i="3"/>
  <c r="J617" i="3"/>
  <c r="M617" i="3"/>
  <c r="N617" i="3" s="1"/>
  <c r="V617" i="3"/>
  <c r="A618" i="3"/>
  <c r="B618" i="3" s="1"/>
  <c r="W617" i="3" l="1"/>
  <c r="L617" i="3"/>
  <c r="P618" i="3"/>
  <c r="Q618" i="3" s="1"/>
  <c r="R618" i="3" s="1"/>
  <c r="S618" i="3" s="1"/>
  <c r="AD618" i="3"/>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AD627" i="3"/>
  <c r="P627" i="3"/>
  <c r="Q627" i="3" s="1"/>
  <c r="R627" i="3" s="1"/>
  <c r="S627" i="3" s="1"/>
  <c r="AC627" i="3"/>
  <c r="AA627" i="3"/>
  <c r="L626" i="3" l="1"/>
  <c r="T627" i="3"/>
  <c r="AG627" i="3" l="1"/>
  <c r="U626" i="3"/>
  <c r="D627" i="3" s="1"/>
  <c r="AH627" i="3"/>
  <c r="Y625" i="3"/>
  <c r="G627" i="3" l="1"/>
  <c r="E627" i="3"/>
  <c r="H627" i="3" s="1"/>
  <c r="K627" i="3" l="1"/>
  <c r="AE627" i="3" s="1"/>
  <c r="I627" i="3"/>
  <c r="J627" i="3"/>
  <c r="M627" i="3"/>
  <c r="N627" i="3" s="1"/>
  <c r="F627" i="3"/>
  <c r="L627" i="3" l="1"/>
  <c r="V627" i="3"/>
  <c r="W627" i="3" s="1"/>
  <c r="A628" i="3"/>
  <c r="B628" i="3" s="1"/>
  <c r="Z628" i="3" l="1"/>
  <c r="AA628" i="3"/>
  <c r="P628" i="3"/>
  <c r="Q628" i="3" s="1"/>
  <c r="R628" i="3" s="1"/>
  <c r="S628" i="3" s="1"/>
  <c r="AC628" i="3"/>
  <c r="AD628" i="3"/>
  <c r="U627" i="3"/>
  <c r="Y626" i="3"/>
  <c r="T628" i="3" l="1"/>
  <c r="D628" i="3" l="1"/>
  <c r="E628" i="3"/>
  <c r="H628" i="3" s="1"/>
  <c r="AG628" i="3"/>
  <c r="AH628" i="3"/>
  <c r="F628" i="3" l="1"/>
  <c r="G628" i="3"/>
  <c r="K628" i="3"/>
  <c r="AE628" i="3" s="1"/>
  <c r="I628" i="3" l="1"/>
  <c r="J628" i="3"/>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D637" i="3"/>
  <c r="AA637" i="3"/>
  <c r="U636" i="3" l="1"/>
  <c r="Y635" i="3"/>
  <c r="T637" i="3"/>
  <c r="AG637" i="3" s="1"/>
  <c r="D637" i="3" l="1"/>
  <c r="AH637" i="3"/>
  <c r="E637" i="3"/>
  <c r="H637" i="3" s="1"/>
  <c r="F637" i="3" l="1"/>
  <c r="G637" i="3"/>
  <c r="K637" i="3"/>
  <c r="AE637" i="3" s="1"/>
  <c r="I637" i="3" l="1"/>
  <c r="J637" i="3"/>
  <c r="M637" i="3"/>
  <c r="N637" i="3" s="1"/>
  <c r="V637" i="3"/>
  <c r="A638" i="3"/>
  <c r="B638" i="3" s="1"/>
  <c r="W637" i="3" l="1"/>
  <c r="L637" i="3"/>
  <c r="P638" i="3"/>
  <c r="Q638" i="3" s="1"/>
  <c r="R638" i="3" s="1"/>
  <c r="S638" i="3" s="1"/>
  <c r="AD638" i="3"/>
  <c r="AC638" i="3"/>
  <c r="AA638" i="3"/>
  <c r="Z638" i="3"/>
  <c r="T638" i="3" l="1"/>
  <c r="AG638" i="3" s="1"/>
  <c r="U637" i="3"/>
  <c r="Y636" i="3"/>
  <c r="D638" i="3" l="1"/>
  <c r="G638" i="3" s="1"/>
  <c r="E638" i="3"/>
  <c r="H638" i="3" s="1"/>
  <c r="AH638" i="3"/>
  <c r="F638" i="3" l="1"/>
  <c r="I638" i="3"/>
  <c r="J638" i="3"/>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AD647" i="3"/>
  <c r="Z647" i="3"/>
  <c r="U646" i="3" l="1"/>
  <c r="Y645" i="3"/>
  <c r="T647" i="3"/>
  <c r="AG647" i="3" s="1"/>
  <c r="E647" i="3" l="1"/>
  <c r="H647" i="3" s="1"/>
  <c r="D647" i="3"/>
  <c r="AH647" i="3"/>
  <c r="F647" i="3" l="1"/>
  <c r="G647" i="3"/>
  <c r="K647" i="3"/>
  <c r="AE647" i="3" s="1"/>
  <c r="V647" i="3" l="1"/>
  <c r="A648" i="3"/>
  <c r="B648" i="3" s="1"/>
  <c r="I647" i="3"/>
  <c r="J647" i="3"/>
  <c r="M647" i="3"/>
  <c r="N647" i="3" s="1"/>
  <c r="W647" i="3" l="1"/>
  <c r="L647" i="3"/>
  <c r="AC648" i="3"/>
  <c r="AA648" i="3"/>
  <c r="P648" i="3"/>
  <c r="Q648" i="3" s="1"/>
  <c r="R648" i="3" s="1"/>
  <c r="S648" i="3" s="1"/>
  <c r="Z648" i="3"/>
  <c r="AD648" i="3"/>
  <c r="T648" i="3" l="1"/>
  <c r="AH648" i="3" s="1"/>
  <c r="U647" i="3"/>
  <c r="Y646" i="3"/>
  <c r="D648" i="3" l="1"/>
  <c r="AG648" i="3"/>
  <c r="E648" i="3"/>
  <c r="H648" i="3" s="1"/>
  <c r="F648" i="3" l="1"/>
  <c r="G648" i="3"/>
  <c r="K648" i="3"/>
  <c r="AE648" i="3" s="1"/>
  <c r="I648" i="3" l="1"/>
  <c r="J648" i="3"/>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AD657" i="3"/>
  <c r="P657" i="3"/>
  <c r="Q657" i="3" s="1"/>
  <c r="R657" i="3" s="1"/>
  <c r="S657" i="3" s="1"/>
  <c r="AA657" i="3"/>
  <c r="Z657" i="3"/>
  <c r="L656" i="3" l="1"/>
  <c r="T657" i="3"/>
  <c r="AH657" i="3" l="1"/>
  <c r="U656" i="3"/>
  <c r="E657" i="3" s="1"/>
  <c r="H657" i="3" s="1"/>
  <c r="AG657" i="3"/>
  <c r="Y655" i="3"/>
  <c r="D657" i="3" l="1"/>
  <c r="G657" i="3" s="1"/>
  <c r="K657" i="3"/>
  <c r="AE657" i="3" s="1"/>
  <c r="F657" i="3" l="1"/>
  <c r="I657" i="3"/>
  <c r="J657" i="3"/>
  <c r="M657" i="3"/>
  <c r="N657" i="3" s="1"/>
  <c r="V657" i="3"/>
  <c r="A658" i="3"/>
  <c r="B658" i="3" s="1"/>
  <c r="W657" i="3" l="1"/>
  <c r="L657" i="3"/>
  <c r="AC658" i="3"/>
  <c r="Z658" i="3"/>
  <c r="AD658" i="3"/>
  <c r="AA658" i="3"/>
  <c r="P658" i="3"/>
  <c r="Q658" i="3" s="1"/>
  <c r="R658" i="3" s="1"/>
  <c r="S658" i="3" s="1"/>
  <c r="U657" i="3" l="1"/>
  <c r="Y656" i="3"/>
  <c r="T658" i="3"/>
  <c r="AG658" i="3" s="1"/>
  <c r="E658" i="3" l="1"/>
  <c r="H658" i="3" s="1"/>
  <c r="D658" i="3"/>
  <c r="AH658" i="3"/>
  <c r="K658" i="3" l="1"/>
  <c r="AE658" i="3" s="1"/>
  <c r="F658" i="3"/>
  <c r="G658" i="3"/>
  <c r="I658" i="3" l="1"/>
  <c r="J658" i="3"/>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D667" i="3"/>
  <c r="AA667" i="3"/>
  <c r="U666" i="3" l="1"/>
  <c r="Y665" i="3"/>
  <c r="T667" i="3"/>
  <c r="AG667" i="3" s="1"/>
  <c r="D667" i="3" l="1"/>
  <c r="E667" i="3"/>
  <c r="H667" i="3" s="1"/>
  <c r="AH667" i="3"/>
  <c r="F667" i="3" l="1"/>
  <c r="G667" i="3"/>
  <c r="K667" i="3"/>
  <c r="AE667" i="3" s="1"/>
  <c r="I667" i="3" l="1"/>
  <c r="J667" i="3"/>
  <c r="M667" i="3"/>
  <c r="N667" i="3" s="1"/>
  <c r="V667" i="3"/>
  <c r="A668" i="3"/>
  <c r="B668" i="3" s="1"/>
  <c r="W667" i="3" l="1"/>
  <c r="L667" i="3"/>
  <c r="Z668" i="3"/>
  <c r="P668" i="3"/>
  <c r="Q668" i="3" s="1"/>
  <c r="R668" i="3" s="1"/>
  <c r="S668" i="3" s="1"/>
  <c r="AD668" i="3"/>
  <c r="AC668" i="3"/>
  <c r="AA668" i="3"/>
  <c r="T668" i="3" l="1"/>
  <c r="AH668" i="3" s="1"/>
  <c r="U667" i="3"/>
  <c r="Y666" i="3"/>
  <c r="D668" i="3" l="1"/>
  <c r="G668" i="3" s="1"/>
  <c r="AG668" i="3"/>
  <c r="E668" i="3"/>
  <c r="H668" i="3" s="1"/>
  <c r="F668" i="3" l="1"/>
  <c r="I668" i="3"/>
  <c r="J668" i="3"/>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D675" i="3"/>
  <c r="AA675" i="3"/>
  <c r="AC675" i="3"/>
  <c r="Z675" i="3"/>
  <c r="U674" i="3" l="1"/>
  <c r="Y673" i="3"/>
  <c r="T675" i="3"/>
  <c r="AH675" i="3" s="1"/>
  <c r="AG675" i="3" l="1"/>
  <c r="D675" i="3"/>
  <c r="E675" i="3"/>
  <c r="H675" i="3" s="1"/>
  <c r="F675" i="3" l="1"/>
  <c r="G675" i="3"/>
  <c r="K675" i="3"/>
  <c r="AE675" i="3" s="1"/>
  <c r="I675" i="3" l="1"/>
  <c r="J675" i="3"/>
  <c r="M675" i="3"/>
  <c r="N675" i="3" s="1"/>
  <c r="V675" i="3"/>
  <c r="A676" i="3"/>
  <c r="B676" i="3" s="1"/>
  <c r="W675" i="3" l="1"/>
  <c r="L675" i="3"/>
  <c r="AD676" i="3"/>
  <c r="AC676" i="3"/>
  <c r="P676" i="3"/>
  <c r="Q676" i="3" s="1"/>
  <c r="R676" i="3" s="1"/>
  <c r="S676" i="3" s="1"/>
  <c r="Z676" i="3"/>
  <c r="AA676" i="3"/>
  <c r="T676" i="3" l="1"/>
  <c r="U675" i="3"/>
  <c r="Y674" i="3"/>
  <c r="E676" i="3" l="1"/>
  <c r="H676" i="3" s="1"/>
  <c r="K676" i="3" s="1"/>
  <c r="AE676" i="3" s="1"/>
  <c r="AH676" i="3"/>
  <c r="D676" i="3"/>
  <c r="G676" i="3" s="1"/>
  <c r="AG676" i="3"/>
  <c r="F676" i="3" l="1"/>
  <c r="I676" i="3"/>
  <c r="J676" i="3"/>
  <c r="M676" i="3"/>
  <c r="N676" i="3" s="1"/>
  <c r="V676" i="3"/>
  <c r="A677" i="3"/>
  <c r="B677" i="3" s="1"/>
  <c r="W676" i="3" l="1"/>
  <c r="L676" i="3"/>
  <c r="AA677" i="3"/>
  <c r="AC677" i="3"/>
  <c r="Z677" i="3"/>
  <c r="AD677" i="3"/>
  <c r="P677" i="3"/>
  <c r="Q677" i="3" s="1"/>
  <c r="R677" i="3" s="1"/>
  <c r="S677" i="3" s="1"/>
  <c r="U676" i="3" l="1"/>
  <c r="Y675" i="3"/>
  <c r="T677" i="3"/>
  <c r="AG677" i="3" s="1"/>
  <c r="D677" i="3" l="1"/>
  <c r="G677" i="3" s="1"/>
  <c r="AH677" i="3"/>
  <c r="E677" i="3"/>
  <c r="H677" i="3" s="1"/>
  <c r="F677" i="3" l="1"/>
  <c r="I677" i="3"/>
  <c r="J677" i="3"/>
  <c r="M677" i="3"/>
  <c r="N677" i="3" s="1"/>
  <c r="K677" i="3"/>
  <c r="AE677" i="3" s="1"/>
  <c r="V677" i="3" l="1"/>
  <c r="W677" i="3" s="1"/>
  <c r="A678" i="3"/>
  <c r="B678" i="3" s="1"/>
  <c r="L677" i="3"/>
  <c r="U677" i="3" l="1"/>
  <c r="Y676" i="3"/>
  <c r="AD678" i="3"/>
  <c r="P678" i="3"/>
  <c r="Q678" i="3" s="1"/>
  <c r="R678" i="3" s="1"/>
  <c r="S678" i="3" s="1"/>
  <c r="Z678" i="3"/>
  <c r="AC678" i="3"/>
  <c r="AA678" i="3"/>
  <c r="T678" i="3" l="1"/>
  <c r="AH678" i="3" s="1"/>
  <c r="E678" i="3" l="1"/>
  <c r="H678" i="3" s="1"/>
  <c r="K678" i="3" s="1"/>
  <c r="AE678" i="3" s="1"/>
  <c r="D678" i="3"/>
  <c r="AG678" i="3"/>
  <c r="F678" i="3" l="1"/>
  <c r="G678" i="3"/>
  <c r="J678" i="3" s="1"/>
  <c r="V678" i="3"/>
  <c r="A679" i="3"/>
  <c r="B679" i="3" s="1"/>
  <c r="M678" i="3" l="1"/>
  <c r="N678" i="3" s="1"/>
  <c r="I678" i="3"/>
  <c r="W678" i="3" s="1"/>
  <c r="L678" i="3"/>
  <c r="P679" i="3"/>
  <c r="Q679" i="3" s="1"/>
  <c r="R679" i="3" s="1"/>
  <c r="S679" i="3" s="1"/>
  <c r="AA679" i="3"/>
  <c r="Z679" i="3"/>
  <c r="AD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AD680" i="3"/>
  <c r="I679" i="3"/>
  <c r="W679" i="3" s="1"/>
  <c r="J679" i="3"/>
  <c r="M679" i="3"/>
  <c r="N679" i="3" s="1"/>
  <c r="L679" i="3" l="1"/>
  <c r="T680" i="3"/>
  <c r="AH680" i="3" l="1"/>
  <c r="U679" i="3"/>
  <c r="E680" i="3" s="1"/>
  <c r="H680" i="3" s="1"/>
  <c r="AG680" i="3"/>
  <c r="Y678" i="3"/>
  <c r="D680" i="3" l="1"/>
  <c r="G680" i="3" s="1"/>
  <c r="K680" i="3"/>
  <c r="AE680" i="3" s="1"/>
  <c r="F680" i="3" l="1"/>
  <c r="I680" i="3"/>
  <c r="J680" i="3"/>
  <c r="M680" i="3"/>
  <c r="N680" i="3" s="1"/>
  <c r="V680" i="3"/>
  <c r="A681" i="3"/>
  <c r="B681" i="3" s="1"/>
  <c r="W680" i="3" l="1"/>
  <c r="L680" i="3"/>
  <c r="AD681"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AD682" i="3" l="1"/>
  <c r="Z682" i="3"/>
  <c r="P682" i="3"/>
  <c r="Q682" i="3" s="1"/>
  <c r="R682" i="3" s="1"/>
  <c r="S682" i="3" s="1"/>
  <c r="AC682" i="3"/>
  <c r="AA682" i="3"/>
  <c r="I681" i="3"/>
  <c r="W681" i="3" s="1"/>
  <c r="J681" i="3"/>
  <c r="M681" i="3"/>
  <c r="N681" i="3" s="1"/>
  <c r="L681" i="3" l="1"/>
  <c r="T682" i="3"/>
  <c r="U681" i="3" l="1"/>
  <c r="E682" i="3" s="1"/>
  <c r="H682" i="3" s="1"/>
  <c r="AG682" i="3"/>
  <c r="AH682" i="3"/>
  <c r="Y680" i="3"/>
  <c r="D682" i="3" l="1"/>
  <c r="G682" i="3" s="1"/>
  <c r="K682" i="3"/>
  <c r="AE682" i="3" s="1"/>
  <c r="F682" i="3" l="1"/>
  <c r="V682" i="3"/>
  <c r="A683" i="3"/>
  <c r="B683" i="3" s="1"/>
  <c r="I682" i="3"/>
  <c r="J682" i="3"/>
  <c r="M682" i="3"/>
  <c r="N682" i="3" s="1"/>
  <c r="W682" i="3" l="1"/>
  <c r="L682" i="3"/>
  <c r="P683" i="3"/>
  <c r="Q683" i="3" s="1"/>
  <c r="R683" i="3" s="1"/>
  <c r="S683" i="3" s="1"/>
  <c r="AC683" i="3"/>
  <c r="AD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D687" i="3"/>
  <c r="AA687" i="3"/>
  <c r="AC687" i="3"/>
  <c r="U686" i="3" l="1"/>
  <c r="Y685" i="3"/>
  <c r="T687" i="3"/>
  <c r="AG687" i="3" s="1"/>
  <c r="AH687" i="3" l="1"/>
  <c r="D687" i="3"/>
  <c r="G687" i="3" s="1"/>
  <c r="E687" i="3"/>
  <c r="H687" i="3" s="1"/>
  <c r="K687" i="3" s="1"/>
  <c r="AE687" i="3" s="1"/>
  <c r="F687" i="3" l="1"/>
  <c r="I687" i="3"/>
  <c r="J687" i="3"/>
  <c r="M687" i="3"/>
  <c r="N687" i="3" s="1"/>
  <c r="V687" i="3"/>
  <c r="A688" i="3"/>
  <c r="B688" i="3" s="1"/>
  <c r="W687" i="3" l="1"/>
  <c r="L687" i="3"/>
  <c r="AC688" i="3"/>
  <c r="AA688" i="3"/>
  <c r="AD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AD695"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M695" i="3"/>
  <c r="N695" i="3" s="1"/>
  <c r="AD696" i="3"/>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M696" i="3"/>
  <c r="N696" i="3" s="1"/>
  <c r="W696" i="3" l="1"/>
  <c r="AD697" i="3"/>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L697" i="3" s="1"/>
  <c r="AD698" i="3"/>
  <c r="AA698" i="3"/>
  <c r="Z698" i="3"/>
  <c r="AC698" i="3"/>
  <c r="P698" i="3"/>
  <c r="Q698" i="3" s="1"/>
  <c r="R698" i="3" s="1"/>
  <c r="S698" i="3" s="1"/>
  <c r="U697" i="3" l="1"/>
  <c r="Y696" i="3"/>
  <c r="T698" i="3"/>
  <c r="AG698" i="3" s="1"/>
  <c r="E698" i="3" l="1"/>
  <c r="H698" i="3" s="1"/>
  <c r="K698" i="3" s="1"/>
  <c r="AE698" i="3" s="1"/>
  <c r="AH698" i="3"/>
  <c r="D698" i="3"/>
  <c r="F698" i="3" l="1"/>
  <c r="G698" i="3"/>
  <c r="J698" i="3" s="1"/>
  <c r="V698" i="3"/>
  <c r="A699" i="3"/>
  <c r="B699" i="3" s="1"/>
  <c r="M698" i="3" l="1"/>
  <c r="N698" i="3" s="1"/>
  <c r="I698" i="3"/>
  <c r="W698" i="3" s="1"/>
  <c r="L698" i="3"/>
  <c r="Z699" i="3"/>
  <c r="P699" i="3"/>
  <c r="Q699" i="3" s="1"/>
  <c r="R699" i="3" s="1"/>
  <c r="S699" i="3" s="1"/>
  <c r="AA699" i="3"/>
  <c r="AD699" i="3"/>
  <c r="AC699" i="3"/>
  <c r="T699" i="3" l="1"/>
  <c r="U698" i="3"/>
  <c r="Y697" i="3"/>
  <c r="D699" i="3" l="1"/>
  <c r="G699" i="3" s="1"/>
  <c r="AG699" i="3"/>
  <c r="AH699" i="3"/>
  <c r="E699" i="3"/>
  <c r="H699" i="3" s="1"/>
  <c r="K699" i="3" l="1"/>
  <c r="AE699" i="3" s="1"/>
  <c r="I699" i="3"/>
  <c r="J699" i="3"/>
  <c r="M699" i="3"/>
  <c r="N699" i="3" s="1"/>
  <c r="F699" i="3"/>
  <c r="L699" i="3" l="1"/>
  <c r="V699" i="3"/>
  <c r="W699" i="3" s="1"/>
  <c r="A700" i="3"/>
  <c r="B700" i="3" s="1"/>
  <c r="U699" i="3" l="1"/>
  <c r="Y698" i="3"/>
  <c r="Z700" i="3"/>
  <c r="P700" i="3"/>
  <c r="Q700" i="3" s="1"/>
  <c r="R700" i="3" s="1"/>
  <c r="S700" i="3" s="1"/>
  <c r="AD700" i="3"/>
  <c r="AC700" i="3"/>
  <c r="AA700" i="3"/>
  <c r="T700" i="3" l="1"/>
  <c r="D700" i="3" s="1"/>
  <c r="AH700" i="3" l="1"/>
  <c r="AG700" i="3"/>
  <c r="E700" i="3"/>
  <c r="H700" i="3" s="1"/>
  <c r="K700" i="3" s="1"/>
  <c r="AE700" i="3" s="1"/>
  <c r="G700" i="3"/>
  <c r="F700" i="3" l="1"/>
  <c r="I700" i="3"/>
  <c r="J700" i="3"/>
  <c r="M700" i="3"/>
  <c r="N700" i="3" s="1"/>
  <c r="V700" i="3"/>
  <c r="A701" i="3"/>
  <c r="B701" i="3" s="1"/>
  <c r="W700" i="3" l="1"/>
  <c r="L700" i="3"/>
  <c r="AC701" i="3"/>
  <c r="AA701" i="3"/>
  <c r="Z701" i="3"/>
  <c r="P701" i="3"/>
  <c r="Q701" i="3" s="1"/>
  <c r="R701" i="3" s="1"/>
  <c r="S701" i="3" s="1"/>
  <c r="AD701" i="3"/>
  <c r="U700" i="3" l="1"/>
  <c r="Y699" i="3"/>
  <c r="T701" i="3"/>
  <c r="AG701" i="3" s="1"/>
  <c r="AH701" i="3" l="1"/>
  <c r="E701" i="3"/>
  <c r="H701" i="3" s="1"/>
  <c r="D701" i="3"/>
  <c r="F701" i="3" l="1"/>
  <c r="G701" i="3"/>
  <c r="K701" i="3"/>
  <c r="AE701" i="3" s="1"/>
  <c r="I701" i="3" l="1"/>
  <c r="J701" i="3"/>
  <c r="M701" i="3"/>
  <c r="N701" i="3" s="1"/>
  <c r="V701" i="3"/>
  <c r="A702" i="3"/>
  <c r="B702" i="3" s="1"/>
  <c r="W701" i="3" l="1"/>
  <c r="L701" i="3"/>
  <c r="AC702" i="3"/>
  <c r="AD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M702" i="3"/>
  <c r="N702" i="3" s="1"/>
  <c r="W702" i="3" l="1"/>
  <c r="L702" i="3"/>
  <c r="AC703" i="3"/>
  <c r="AD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AD707" i="3"/>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M707" i="3"/>
  <c r="N707" i="3" s="1"/>
  <c r="AD708" i="3"/>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AD717" i="3"/>
  <c r="Z717" i="3"/>
  <c r="AA717" i="3"/>
  <c r="U716" i="3" l="1"/>
  <c r="Y715" i="3"/>
  <c r="T717" i="3"/>
  <c r="AG717" i="3" s="1"/>
  <c r="E717" i="3" l="1"/>
  <c r="H717" i="3" s="1"/>
  <c r="K717" i="3" s="1"/>
  <c r="AE717" i="3" s="1"/>
  <c r="AH717" i="3"/>
  <c r="D717" i="3"/>
  <c r="V717" i="3" l="1"/>
  <c r="A718" i="3"/>
  <c r="B718" i="3" s="1"/>
  <c r="F717" i="3"/>
  <c r="G717" i="3"/>
  <c r="I717" i="3" l="1"/>
  <c r="W717" i="3" s="1"/>
  <c r="J717" i="3"/>
  <c r="M717" i="3"/>
  <c r="N717" i="3" s="1"/>
  <c r="P718" i="3"/>
  <c r="Q718" i="3" s="1"/>
  <c r="R718" i="3" s="1"/>
  <c r="S718" i="3" s="1"/>
  <c r="AC718" i="3"/>
  <c r="Z718" i="3"/>
  <c r="AD718" i="3"/>
  <c r="AA718" i="3"/>
  <c r="L717" i="3" l="1"/>
  <c r="T718" i="3"/>
  <c r="U717" i="3" l="1"/>
  <c r="E718" i="3" s="1"/>
  <c r="H718" i="3" s="1"/>
  <c r="AH718" i="3"/>
  <c r="AG718" i="3"/>
  <c r="Y716" i="3"/>
  <c r="K718" i="3" l="1"/>
  <c r="AE718" i="3" s="1"/>
  <c r="D718" i="3"/>
  <c r="V718" i="3" l="1"/>
  <c r="A719" i="3"/>
  <c r="B719" i="3" s="1"/>
  <c r="F718" i="3"/>
  <c r="G718" i="3"/>
  <c r="I718" i="3" l="1"/>
  <c r="W718" i="3" s="1"/>
  <c r="J718" i="3"/>
  <c r="M718" i="3"/>
  <c r="N718" i="3" s="1"/>
  <c r="AD719" i="3"/>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M719" i="3"/>
  <c r="N719" i="3" s="1"/>
  <c r="V719" i="3"/>
  <c r="A720" i="3"/>
  <c r="B720" i="3" s="1"/>
  <c r="W719" i="3" l="1"/>
  <c r="L719" i="3"/>
  <c r="P720" i="3"/>
  <c r="Q720" i="3" s="1"/>
  <c r="R720" i="3" s="1"/>
  <c r="S720" i="3" s="1"/>
  <c r="AA720" i="3"/>
  <c r="AC720" i="3"/>
  <c r="Z720" i="3"/>
  <c r="AD720" i="3"/>
  <c r="U719" i="3" l="1"/>
  <c r="Y718" i="3"/>
  <c r="T720" i="3"/>
  <c r="AG720" i="3" s="1"/>
  <c r="E720" i="3" l="1"/>
  <c r="H720" i="3" s="1"/>
  <c r="K720" i="3" s="1"/>
  <c r="AE720" i="3" s="1"/>
  <c r="D720" i="3"/>
  <c r="AH720" i="3"/>
  <c r="V720" i="3" l="1"/>
  <c r="A721" i="3"/>
  <c r="B721" i="3" s="1"/>
  <c r="F720" i="3"/>
  <c r="G720" i="3"/>
  <c r="I720" i="3" l="1"/>
  <c r="W720" i="3" s="1"/>
  <c r="J720" i="3"/>
  <c r="M720" i="3"/>
  <c r="N720" i="3" s="1"/>
  <c r="AD721" i="3"/>
  <c r="AA721" i="3"/>
  <c r="Z721" i="3"/>
  <c r="AC721" i="3"/>
  <c r="P721" i="3"/>
  <c r="Q721" i="3" s="1"/>
  <c r="R721" i="3" s="1"/>
  <c r="S721" i="3" s="1"/>
  <c r="T721" i="3" l="1"/>
  <c r="L720" i="3"/>
  <c r="AG721" i="3" l="1"/>
  <c r="U720" i="3"/>
  <c r="D721" i="3" s="1"/>
  <c r="AH721" i="3"/>
  <c r="Y719" i="3"/>
  <c r="G721" i="3" l="1"/>
  <c r="E721" i="3"/>
  <c r="H721" i="3" s="1"/>
  <c r="F721" i="3" l="1"/>
  <c r="I721" i="3"/>
  <c r="J721" i="3"/>
  <c r="M721" i="3"/>
  <c r="N721" i="3" s="1"/>
  <c r="K721" i="3"/>
  <c r="AE721" i="3" s="1"/>
  <c r="V721" i="3" l="1"/>
  <c r="W721" i="3" s="1"/>
  <c r="A722" i="3"/>
  <c r="B722" i="3" s="1"/>
  <c r="L721" i="3"/>
  <c r="U721" i="3" l="1"/>
  <c r="Y720" i="3"/>
  <c r="AA722" i="3"/>
  <c r="AC722" i="3"/>
  <c r="P722" i="3"/>
  <c r="Q722" i="3" s="1"/>
  <c r="R722" i="3" s="1"/>
  <c r="S722" i="3" s="1"/>
  <c r="Z722" i="3"/>
  <c r="AD722" i="3"/>
  <c r="T722" i="3" l="1"/>
  <c r="AH722" i="3" s="1"/>
  <c r="E722" i="3" l="1"/>
  <c r="H722" i="3" s="1"/>
  <c r="K722" i="3" s="1"/>
  <c r="AE722" i="3" s="1"/>
  <c r="D722" i="3"/>
  <c r="AG722" i="3"/>
  <c r="V722" i="3" l="1"/>
  <c r="A723" i="3"/>
  <c r="B723" i="3" s="1"/>
  <c r="F722" i="3"/>
  <c r="G722" i="3"/>
  <c r="I722" i="3" l="1"/>
  <c r="W722" i="3" s="1"/>
  <c r="J722" i="3"/>
  <c r="M722" i="3"/>
  <c r="N722" i="3" s="1"/>
  <c r="Z723" i="3"/>
  <c r="AA723" i="3"/>
  <c r="AC723" i="3"/>
  <c r="P723" i="3"/>
  <c r="Q723" i="3" s="1"/>
  <c r="R723" i="3" s="1"/>
  <c r="S723" i="3" s="1"/>
  <c r="AD723" i="3"/>
  <c r="T723" i="3" l="1"/>
  <c r="L722" i="3"/>
  <c r="U722" i="3" l="1"/>
  <c r="E723" i="3" s="1"/>
  <c r="H723" i="3" s="1"/>
  <c r="AG723" i="3"/>
  <c r="AH723" i="3"/>
  <c r="Y721" i="3"/>
  <c r="D723" i="3" l="1"/>
  <c r="G723" i="3" s="1"/>
  <c r="K723" i="3"/>
  <c r="AE723" i="3" s="1"/>
  <c r="F723" i="3" l="1"/>
  <c r="V723" i="3"/>
  <c r="A724" i="3"/>
  <c r="B724" i="3" s="1"/>
  <c r="I723" i="3"/>
  <c r="J723" i="3"/>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AD725" i="3"/>
  <c r="U724" i="3" l="1"/>
  <c r="Y723" i="3"/>
  <c r="T725" i="3"/>
  <c r="AG725" i="3" s="1"/>
  <c r="AH725" i="3" l="1"/>
  <c r="D725" i="3"/>
  <c r="G725" i="3" s="1"/>
  <c r="E725" i="3"/>
  <c r="H725" i="3" s="1"/>
  <c r="F725" i="3" l="1"/>
  <c r="I725" i="3"/>
  <c r="J725" i="3"/>
  <c r="M725" i="3"/>
  <c r="N725" i="3" s="1"/>
  <c r="K725" i="3"/>
  <c r="AE725" i="3" s="1"/>
  <c r="V725" i="3" l="1"/>
  <c r="W725" i="3" s="1"/>
  <c r="A726" i="3"/>
  <c r="B726" i="3" s="1"/>
  <c r="L725" i="3"/>
  <c r="U725" i="3" l="1"/>
  <c r="Y724" i="3"/>
  <c r="Z726" i="3"/>
  <c r="P726" i="3"/>
  <c r="Q726" i="3" s="1"/>
  <c r="R726" i="3" s="1"/>
  <c r="S726" i="3" s="1"/>
  <c r="AA726" i="3"/>
  <c r="AD726" i="3"/>
  <c r="AC726" i="3"/>
  <c r="T726" i="3" l="1"/>
  <c r="AG726" i="3" s="1"/>
  <c r="D726" i="3" l="1"/>
  <c r="G726" i="3" s="1"/>
  <c r="E726" i="3"/>
  <c r="H726" i="3" s="1"/>
  <c r="K726" i="3" s="1"/>
  <c r="AE726" i="3" s="1"/>
  <c r="AH726" i="3"/>
  <c r="F726" i="3" l="1"/>
  <c r="I726" i="3"/>
  <c r="J726" i="3"/>
  <c r="M726" i="3"/>
  <c r="N726" i="3" s="1"/>
  <c r="V726" i="3"/>
  <c r="A727" i="3"/>
  <c r="B727" i="3" s="1"/>
  <c r="W726" i="3" l="1"/>
  <c r="L726" i="3"/>
  <c r="P727" i="3"/>
  <c r="Q727" i="3" s="1"/>
  <c r="R727" i="3" s="1"/>
  <c r="S727" i="3" s="1"/>
  <c r="Z727" i="3"/>
  <c r="AA727" i="3"/>
  <c r="AC727" i="3"/>
  <c r="AD727" i="3"/>
  <c r="U726" i="3" l="1"/>
  <c r="Y725" i="3"/>
  <c r="T727" i="3"/>
  <c r="AH727" i="3" s="1"/>
  <c r="E727" i="3" l="1"/>
  <c r="H727" i="3" s="1"/>
  <c r="K727" i="3" s="1"/>
  <c r="AE727" i="3" s="1"/>
  <c r="D727" i="3"/>
  <c r="AG727" i="3"/>
  <c r="F727" i="3" l="1"/>
  <c r="G727" i="3"/>
  <c r="M727" i="3" s="1"/>
  <c r="N727" i="3" s="1"/>
  <c r="V727" i="3"/>
  <c r="A728" i="3"/>
  <c r="B728" i="3" s="1"/>
  <c r="I727" i="3" l="1"/>
  <c r="W727" i="3" s="1"/>
  <c r="J727" i="3"/>
  <c r="L727" i="3" s="1"/>
  <c r="AA728" i="3"/>
  <c r="P728" i="3"/>
  <c r="Q728" i="3" s="1"/>
  <c r="R728" i="3" s="1"/>
  <c r="S728" i="3" s="1"/>
  <c r="AC728" i="3"/>
  <c r="Z728" i="3"/>
  <c r="AD728" i="3"/>
  <c r="U727" i="3" l="1"/>
  <c r="Y726" i="3"/>
  <c r="T728" i="3"/>
  <c r="D728" i="3" l="1"/>
  <c r="G728" i="3" s="1"/>
  <c r="AG728" i="3"/>
  <c r="E728" i="3"/>
  <c r="H728" i="3" s="1"/>
  <c r="AH728" i="3"/>
  <c r="F728" i="3" l="1"/>
  <c r="I728" i="3"/>
  <c r="J728" i="3"/>
  <c r="M728" i="3"/>
  <c r="N728" i="3" s="1"/>
  <c r="K728" i="3"/>
  <c r="AE728" i="3" s="1"/>
  <c r="V728" i="3" l="1"/>
  <c r="W728" i="3" s="1"/>
  <c r="A729" i="3"/>
  <c r="B729" i="3" s="1"/>
  <c r="L728" i="3"/>
  <c r="U728" i="3" l="1"/>
  <c r="Y727" i="3"/>
  <c r="P729" i="3"/>
  <c r="Q729" i="3" s="1"/>
  <c r="R729" i="3" s="1"/>
  <c r="S729" i="3" s="1"/>
  <c r="AA729" i="3"/>
  <c r="AD729" i="3"/>
  <c r="AC729" i="3"/>
  <c r="Z729" i="3"/>
  <c r="T729" i="3" l="1"/>
  <c r="E729" i="3" s="1"/>
  <c r="H729" i="3" s="1"/>
  <c r="AH729" i="3" l="1"/>
  <c r="D729" i="3"/>
  <c r="F729" i="3" s="1"/>
  <c r="AG729" i="3"/>
  <c r="K729" i="3"/>
  <c r="AE729" i="3" s="1"/>
  <c r="G729" i="3" l="1"/>
  <c r="I729" i="3" s="1"/>
  <c r="V729" i="3"/>
  <c r="A730" i="3"/>
  <c r="B730" i="3" s="1"/>
  <c r="W729" i="3" l="1"/>
  <c r="J729" i="3"/>
  <c r="L729" i="3" s="1"/>
  <c r="M729" i="3"/>
  <c r="N729" i="3" s="1"/>
  <c r="AA730" i="3"/>
  <c r="Z730" i="3"/>
  <c r="AD730" i="3"/>
  <c r="P730" i="3"/>
  <c r="Q730" i="3" s="1"/>
  <c r="R730" i="3" s="1"/>
  <c r="S730" i="3" s="1"/>
  <c r="AC730" i="3"/>
  <c r="U729" i="3" l="1"/>
  <c r="Y728" i="3"/>
  <c r="T730" i="3"/>
  <c r="AG730" i="3" s="1"/>
  <c r="D730" i="3" l="1"/>
  <c r="E730" i="3"/>
  <c r="H730" i="3" s="1"/>
  <c r="AH730" i="3"/>
  <c r="K730" i="3" l="1"/>
  <c r="AE730" i="3" s="1"/>
  <c r="F730" i="3"/>
  <c r="G730" i="3"/>
  <c r="I730" i="3" l="1"/>
  <c r="J730" i="3"/>
  <c r="M730" i="3"/>
  <c r="N730" i="3" s="1"/>
  <c r="V730" i="3"/>
  <c r="A731" i="3"/>
  <c r="B731" i="3" s="1"/>
  <c r="W730" i="3" l="1"/>
  <c r="L730" i="3"/>
  <c r="P731" i="3"/>
  <c r="Q731" i="3" s="1"/>
  <c r="R731" i="3" s="1"/>
  <c r="S731" i="3" s="1"/>
  <c r="Z731" i="3"/>
  <c r="AA731" i="3"/>
  <c r="AD731" i="3"/>
  <c r="AC731" i="3"/>
  <c r="U730" i="3" l="1"/>
  <c r="Y729" i="3"/>
  <c r="T731" i="3"/>
  <c r="AG731" i="3" s="1"/>
  <c r="E731" i="3" l="1"/>
  <c r="H731" i="3" s="1"/>
  <c r="K731" i="3" s="1"/>
  <c r="AE731" i="3" s="1"/>
  <c r="AH731" i="3"/>
  <c r="D731" i="3"/>
  <c r="F731" i="3" l="1"/>
  <c r="G731" i="3"/>
  <c r="J731" i="3" s="1"/>
  <c r="V731" i="3"/>
  <c r="A732" i="3"/>
  <c r="B732" i="3" s="1"/>
  <c r="M731" i="3" l="1"/>
  <c r="N731" i="3" s="1"/>
  <c r="I731" i="3"/>
  <c r="W731" i="3" s="1"/>
  <c r="L731" i="3"/>
  <c r="AC732" i="3"/>
  <c r="Z732" i="3"/>
  <c r="AD732" i="3"/>
  <c r="AA732" i="3"/>
  <c r="P732" i="3"/>
  <c r="Q732" i="3" s="1"/>
  <c r="R732" i="3" s="1"/>
  <c r="S732" i="3" s="1"/>
  <c r="U731" i="3" l="1"/>
  <c r="Y730" i="3"/>
  <c r="T732" i="3"/>
  <c r="E732" i="3" l="1"/>
  <c r="H732" i="3" s="1"/>
  <c r="K732" i="3" s="1"/>
  <c r="AE732" i="3" s="1"/>
  <c r="D732" i="3"/>
  <c r="G732" i="3" s="1"/>
  <c r="AH732" i="3"/>
  <c r="AG732" i="3"/>
  <c r="F732" i="3" l="1"/>
  <c r="I732" i="3"/>
  <c r="J732" i="3"/>
  <c r="M732" i="3"/>
  <c r="N732" i="3" s="1"/>
  <c r="V732" i="3"/>
  <c r="A733" i="3"/>
  <c r="B733" i="3" s="1"/>
  <c r="W732" i="3" l="1"/>
  <c r="L732" i="3"/>
  <c r="AC733" i="3"/>
  <c r="P733" i="3"/>
  <c r="Q733" i="3" s="1"/>
  <c r="R733" i="3" s="1"/>
  <c r="S733" i="3" s="1"/>
  <c r="AA733" i="3"/>
  <c r="Z733" i="3"/>
  <c r="AD733" i="3"/>
  <c r="T733" i="3" l="1"/>
  <c r="AH733" i="3" s="1"/>
  <c r="U732" i="3"/>
  <c r="Y731" i="3"/>
  <c r="D733" i="3" l="1"/>
  <c r="G733" i="3" s="1"/>
  <c r="E733" i="3"/>
  <c r="H733" i="3" s="1"/>
  <c r="AG733" i="3"/>
  <c r="F733" i="3" l="1"/>
  <c r="I733" i="3"/>
  <c r="J733" i="3"/>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AD735" i="3"/>
  <c r="L734" i="3" l="1"/>
  <c r="Y733" i="3" s="1"/>
  <c r="AD734" i="3"/>
  <c r="T735" i="3"/>
  <c r="U734" i="3" l="1"/>
  <c r="E735" i="3" s="1"/>
  <c r="H735" i="3" s="1"/>
  <c r="AH735" i="3"/>
  <c r="AG735" i="3"/>
  <c r="D735" i="3" l="1"/>
  <c r="G735" i="3" s="1"/>
  <c r="M735" i="3" s="1"/>
  <c r="N735" i="3" s="1"/>
  <c r="K735" i="3"/>
  <c r="AE735" i="3" s="1"/>
  <c r="F735" i="3" l="1"/>
  <c r="I735" i="3"/>
  <c r="J735" i="3"/>
  <c r="L735" i="3" s="1"/>
  <c r="V735" i="3"/>
  <c r="A736" i="3"/>
  <c r="B736" i="3" s="1"/>
  <c r="W735" i="3" l="1"/>
  <c r="U735" i="3"/>
  <c r="Y734" i="3"/>
  <c r="Z736" i="3"/>
  <c r="P736" i="3"/>
  <c r="Q736" i="3" s="1"/>
  <c r="R736" i="3" s="1"/>
  <c r="S736" i="3" s="1"/>
  <c r="AA736" i="3"/>
  <c r="AD736" i="3"/>
  <c r="AC736" i="3"/>
  <c r="T736" i="3" l="1"/>
  <c r="E736" i="3" s="1"/>
  <c r="H736" i="3" s="1"/>
  <c r="AH736" i="3" l="1"/>
  <c r="D736" i="3"/>
  <c r="F736" i="3" s="1"/>
  <c r="K736" i="3"/>
  <c r="AE736" i="3" s="1"/>
  <c r="AG736" i="3"/>
  <c r="G736" i="3" l="1"/>
  <c r="M736" i="3" s="1"/>
  <c r="N736" i="3" s="1"/>
  <c r="V736" i="3"/>
  <c r="A737" i="3"/>
  <c r="B737" i="3" s="1"/>
  <c r="I736" i="3" l="1"/>
  <c r="W736" i="3" s="1"/>
  <c r="J736" i="3"/>
  <c r="L736" i="3" s="1"/>
  <c r="AC737" i="3"/>
  <c r="P737" i="3"/>
  <c r="Q737" i="3" s="1"/>
  <c r="R737" i="3" s="1"/>
  <c r="S737" i="3" s="1"/>
  <c r="AD737" i="3"/>
  <c r="Z737" i="3"/>
  <c r="AA737" i="3"/>
  <c r="U736" i="3" l="1"/>
  <c r="Y735" i="3"/>
  <c r="T737" i="3"/>
  <c r="AH737" i="3" s="1"/>
  <c r="D737" i="3" l="1"/>
  <c r="E737" i="3"/>
  <c r="H737" i="3" s="1"/>
  <c r="AG737" i="3"/>
  <c r="F737" i="3" l="1"/>
  <c r="G737" i="3"/>
  <c r="K737" i="3"/>
  <c r="AE737" i="3" s="1"/>
  <c r="V737" i="3" l="1"/>
  <c r="A738" i="3"/>
  <c r="B738" i="3" s="1"/>
  <c r="I737" i="3"/>
  <c r="J737" i="3"/>
  <c r="M737" i="3"/>
  <c r="N737" i="3" s="1"/>
  <c r="W737" i="3" l="1"/>
  <c r="L737" i="3"/>
  <c r="AA738" i="3"/>
  <c r="P738" i="3"/>
  <c r="Q738" i="3" s="1"/>
  <c r="R738" i="3" s="1"/>
  <c r="S738" i="3" s="1"/>
  <c r="AC738" i="3"/>
  <c r="Z738" i="3"/>
  <c r="AD738" i="3"/>
  <c r="U737" i="3" l="1"/>
  <c r="Y736" i="3"/>
  <c r="T738" i="3"/>
  <c r="E738" i="3" l="1"/>
  <c r="H738" i="3" s="1"/>
  <c r="K738" i="3" s="1"/>
  <c r="AE738" i="3" s="1"/>
  <c r="D738" i="3"/>
  <c r="AG738" i="3"/>
  <c r="AH738" i="3"/>
  <c r="V738" i="3" l="1"/>
  <c r="A739" i="3"/>
  <c r="B739" i="3" s="1"/>
  <c r="F738" i="3"/>
  <c r="G738" i="3"/>
  <c r="I738" i="3" l="1"/>
  <c r="W738" i="3" s="1"/>
  <c r="J738" i="3"/>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AD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L745" i="3" s="1"/>
  <c r="Z746" i="3"/>
  <c r="AD746" i="3"/>
  <c r="P746" i="3"/>
  <c r="Q746" i="3" s="1"/>
  <c r="R746" i="3" s="1"/>
  <c r="S746" i="3" s="1"/>
  <c r="AA746" i="3"/>
  <c r="AC746" i="3"/>
  <c r="U745" i="3" l="1"/>
  <c r="Y744" i="3"/>
  <c r="T746" i="3"/>
  <c r="D746" i="3" l="1"/>
  <c r="G746" i="3" s="1"/>
  <c r="AG746" i="3"/>
  <c r="E746" i="3"/>
  <c r="H746" i="3" s="1"/>
  <c r="AH746" i="3"/>
  <c r="F746" i="3" l="1"/>
  <c r="I746" i="3"/>
  <c r="J746" i="3"/>
  <c r="M746" i="3"/>
  <c r="N746" i="3" s="1"/>
  <c r="K746" i="3"/>
  <c r="AE746" i="3" s="1"/>
  <c r="V746" i="3" l="1"/>
  <c r="W746" i="3" s="1"/>
  <c r="A747" i="3"/>
  <c r="B747" i="3" s="1"/>
  <c r="L746" i="3"/>
  <c r="U746" i="3" l="1"/>
  <c r="Y745" i="3"/>
  <c r="AA747" i="3"/>
  <c r="AD747" i="3"/>
  <c r="Z747" i="3"/>
  <c r="AC747" i="3"/>
  <c r="P747" i="3"/>
  <c r="Q747" i="3" s="1"/>
  <c r="R747" i="3" s="1"/>
  <c r="S747" i="3" s="1"/>
  <c r="T747" i="3" l="1"/>
  <c r="D747" i="3" s="1"/>
  <c r="AG747" i="3" l="1"/>
  <c r="E747" i="3"/>
  <c r="H747" i="3" s="1"/>
  <c r="K747" i="3" s="1"/>
  <c r="AE747" i="3" s="1"/>
  <c r="AH747" i="3"/>
  <c r="G747" i="3"/>
  <c r="F747" i="3" l="1"/>
  <c r="I747" i="3"/>
  <c r="J747" i="3"/>
  <c r="M747" i="3"/>
  <c r="N747" i="3" s="1"/>
  <c r="V747" i="3"/>
  <c r="A748" i="3"/>
  <c r="B748" i="3" s="1"/>
  <c r="W747" i="3" l="1"/>
  <c r="L747" i="3"/>
  <c r="AC748" i="3"/>
  <c r="P748" i="3"/>
  <c r="Q748" i="3" s="1"/>
  <c r="R748" i="3" s="1"/>
  <c r="S748" i="3" s="1"/>
  <c r="AD748" i="3"/>
  <c r="Z748" i="3"/>
  <c r="AA748" i="3"/>
  <c r="U747" i="3" l="1"/>
  <c r="Y746" i="3"/>
  <c r="T748" i="3"/>
  <c r="E748" i="3" l="1"/>
  <c r="H748" i="3" s="1"/>
  <c r="K748" i="3" s="1"/>
  <c r="AE748" i="3" s="1"/>
  <c r="D748" i="3"/>
  <c r="AH748" i="3"/>
  <c r="AG748" i="3"/>
  <c r="V748" i="3" l="1"/>
  <c r="A749" i="3"/>
  <c r="B749" i="3" s="1"/>
  <c r="F748" i="3"/>
  <c r="G748" i="3"/>
  <c r="I748" i="3" l="1"/>
  <c r="W748" i="3" s="1"/>
  <c r="J748" i="3"/>
  <c r="M748" i="3"/>
  <c r="N748" i="3" s="1"/>
  <c r="AA749" i="3"/>
  <c r="Z749" i="3"/>
  <c r="P749" i="3"/>
  <c r="Q749" i="3" s="1"/>
  <c r="R749" i="3" s="1"/>
  <c r="S749" i="3" s="1"/>
  <c r="AC749" i="3"/>
  <c r="AD749" i="3"/>
  <c r="T749" i="3" l="1"/>
  <c r="L748" i="3"/>
  <c r="U748" i="3" l="1"/>
  <c r="E749" i="3" s="1"/>
  <c r="H749" i="3" s="1"/>
  <c r="AG749" i="3"/>
  <c r="AH749" i="3"/>
  <c r="Y747" i="3"/>
  <c r="K749" i="3" l="1"/>
  <c r="AE749" i="3" s="1"/>
  <c r="D749" i="3"/>
  <c r="V749" i="3" l="1"/>
  <c r="A750" i="3"/>
  <c r="B750" i="3" s="1"/>
  <c r="F749" i="3"/>
  <c r="G749" i="3"/>
  <c r="I749" i="3" l="1"/>
  <c r="W749" i="3" s="1"/>
  <c r="J749" i="3"/>
  <c r="M749" i="3"/>
  <c r="N749" i="3" s="1"/>
  <c r="AA750" i="3"/>
  <c r="AC750" i="3"/>
  <c r="Z750" i="3"/>
  <c r="AD750" i="3"/>
  <c r="P750" i="3"/>
  <c r="Q750" i="3" s="1"/>
  <c r="R750" i="3" s="1"/>
  <c r="S750" i="3" s="1"/>
  <c r="T750" i="3" l="1"/>
  <c r="L749" i="3"/>
  <c r="AH750" i="3" l="1"/>
  <c r="AG750" i="3"/>
  <c r="U749" i="3"/>
  <c r="D750" i="3" s="1"/>
  <c r="Y748" i="3"/>
  <c r="G750" i="3" l="1"/>
  <c r="E750" i="3"/>
  <c r="H750" i="3" s="1"/>
  <c r="F750" i="3" l="1"/>
  <c r="I750" i="3"/>
  <c r="J750" i="3"/>
  <c r="M750" i="3"/>
  <c r="N750" i="3" s="1"/>
  <c r="K750" i="3"/>
  <c r="AE750" i="3" s="1"/>
  <c r="V750" i="3" l="1"/>
  <c r="W750" i="3" s="1"/>
  <c r="A751" i="3"/>
  <c r="B751" i="3" s="1"/>
  <c r="L750" i="3"/>
  <c r="U750" i="3" l="1"/>
  <c r="Y749" i="3"/>
  <c r="P751" i="3"/>
  <c r="Q751" i="3" s="1"/>
  <c r="R751" i="3" s="1"/>
  <c r="S751" i="3" s="1"/>
  <c r="Z751" i="3"/>
  <c r="AA751" i="3"/>
  <c r="AC751" i="3"/>
  <c r="AD751" i="3"/>
  <c r="T751" i="3" l="1"/>
  <c r="AH751" i="3" s="1"/>
  <c r="E751" i="3" l="1"/>
  <c r="H751" i="3" s="1"/>
  <c r="K751" i="3" s="1"/>
  <c r="AE751" i="3" s="1"/>
  <c r="AG751" i="3"/>
  <c r="D751" i="3"/>
  <c r="F751" i="3" l="1"/>
  <c r="G751" i="3"/>
  <c r="V751" i="3"/>
  <c r="A752" i="3"/>
  <c r="B752" i="3" s="1"/>
  <c r="AA752" i="3" l="1"/>
  <c r="AD752" i="3"/>
  <c r="Z752" i="3"/>
  <c r="AC752" i="3"/>
  <c r="P752" i="3"/>
  <c r="Q752" i="3" s="1"/>
  <c r="R752" i="3" s="1"/>
  <c r="S752" i="3" s="1"/>
  <c r="I751" i="3"/>
  <c r="W751" i="3" s="1"/>
  <c r="J751" i="3"/>
  <c r="M751" i="3"/>
  <c r="N751" i="3" s="1"/>
  <c r="L751" i="3" l="1"/>
  <c r="T752" i="3"/>
  <c r="U751" i="3" l="1"/>
  <c r="E752" i="3" s="1"/>
  <c r="H752" i="3" s="1"/>
  <c r="AG752" i="3"/>
  <c r="AH752" i="3"/>
  <c r="Y750" i="3"/>
  <c r="K752" i="3" l="1"/>
  <c r="AE752" i="3" s="1"/>
  <c r="D752" i="3"/>
  <c r="V752" i="3" l="1"/>
  <c r="A753" i="3"/>
  <c r="B753" i="3" s="1"/>
  <c r="F752" i="3"/>
  <c r="G752" i="3"/>
  <c r="I752" i="3" l="1"/>
  <c r="W752" i="3" s="1"/>
  <c r="J752" i="3"/>
  <c r="M752" i="3"/>
  <c r="N752" i="3" s="1"/>
  <c r="AD753" i="3"/>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D755"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AD756" i="3"/>
  <c r="I755" i="3"/>
  <c r="W755" i="3" s="1"/>
  <c r="J755" i="3"/>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L756" i="3" s="1"/>
  <c r="AD757" i="3"/>
  <c r="AC757" i="3"/>
  <c r="P757" i="3"/>
  <c r="Q757" i="3" s="1"/>
  <c r="R757" i="3" s="1"/>
  <c r="S757" i="3" s="1"/>
  <c r="Z757" i="3"/>
  <c r="AA757" i="3"/>
  <c r="T757" i="3" l="1"/>
  <c r="U756" i="3"/>
  <c r="Y755" i="3"/>
  <c r="E757" i="3" l="1"/>
  <c r="H757" i="3" s="1"/>
  <c r="K757" i="3" s="1"/>
  <c r="AE757" i="3" s="1"/>
  <c r="AH757" i="3"/>
  <c r="D757" i="3"/>
  <c r="AG757" i="3"/>
  <c r="V757" i="3" l="1"/>
  <c r="A758" i="3"/>
  <c r="B758" i="3" s="1"/>
  <c r="F757" i="3"/>
  <c r="G757" i="3"/>
  <c r="I757" i="3" l="1"/>
  <c r="W757" i="3" s="1"/>
  <c r="J757" i="3"/>
  <c r="M757" i="3"/>
  <c r="N757" i="3" s="1"/>
  <c r="AA758" i="3"/>
  <c r="Z758" i="3"/>
  <c r="AD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M758" i="3"/>
  <c r="N758" i="3" s="1"/>
  <c r="L758" i="3" l="1"/>
  <c r="W758" i="3"/>
  <c r="AD759" i="3"/>
  <c r="P759" i="3"/>
  <c r="Q759" i="3" s="1"/>
  <c r="R759" i="3" s="1"/>
  <c r="S759" i="3" s="1"/>
  <c r="Z759" i="3"/>
  <c r="AA759" i="3"/>
  <c r="AC759" i="3"/>
  <c r="U758" i="3" l="1"/>
  <c r="Y757" i="3"/>
  <c r="T759" i="3"/>
  <c r="D759" i="3" l="1"/>
  <c r="G759" i="3" s="1"/>
  <c r="AG759" i="3"/>
  <c r="E759" i="3"/>
  <c r="H759" i="3" s="1"/>
  <c r="AH759" i="3"/>
  <c r="F759" i="3" l="1"/>
  <c r="I759" i="3"/>
  <c r="J759" i="3"/>
  <c r="M759" i="3"/>
  <c r="N759" i="3" s="1"/>
  <c r="K759" i="3"/>
  <c r="AE759" i="3" s="1"/>
  <c r="V759" i="3" l="1"/>
  <c r="W759" i="3" s="1"/>
  <c r="A760" i="3"/>
  <c r="B760" i="3" s="1"/>
  <c r="L759" i="3"/>
  <c r="U759" i="3" l="1"/>
  <c r="Y758" i="3"/>
  <c r="AA760" i="3"/>
  <c r="AC760" i="3"/>
  <c r="Z760" i="3"/>
  <c r="P760" i="3"/>
  <c r="Q760" i="3" s="1"/>
  <c r="R760" i="3" s="1"/>
  <c r="S760" i="3" s="1"/>
  <c r="AD760" i="3"/>
  <c r="T760" i="3" l="1"/>
  <c r="E760" i="3" s="1"/>
  <c r="H760" i="3" s="1"/>
  <c r="AH760" i="3" l="1"/>
  <c r="AG760" i="3"/>
  <c r="D760" i="3"/>
  <c r="G760" i="3" s="1"/>
  <c r="K760" i="3"/>
  <c r="AE760" i="3" s="1"/>
  <c r="F760" i="3" l="1"/>
  <c r="I760" i="3"/>
  <c r="J760" i="3"/>
  <c r="M760" i="3"/>
  <c r="N760" i="3" s="1"/>
  <c r="V760" i="3"/>
  <c r="A761" i="3"/>
  <c r="B761" i="3" s="1"/>
  <c r="W760" i="3" l="1"/>
  <c r="L760" i="3"/>
  <c r="P761" i="3"/>
  <c r="Q761" i="3" s="1"/>
  <c r="R761" i="3" s="1"/>
  <c r="S761" i="3" s="1"/>
  <c r="Z761" i="3"/>
  <c r="AA761" i="3"/>
  <c r="AD761" i="3"/>
  <c r="AC761" i="3"/>
  <c r="T761" i="3" l="1"/>
  <c r="U760" i="3"/>
  <c r="Y759" i="3"/>
  <c r="D761" i="3" l="1"/>
  <c r="G761" i="3" s="1"/>
  <c r="AG761" i="3"/>
  <c r="AH761" i="3"/>
  <c r="E761" i="3"/>
  <c r="H761" i="3" s="1"/>
  <c r="F761" i="3" l="1"/>
  <c r="I761" i="3"/>
  <c r="J761" i="3"/>
  <c r="M761" i="3"/>
  <c r="N761" i="3" s="1"/>
  <c r="K761" i="3"/>
  <c r="AE761" i="3" s="1"/>
  <c r="V761" i="3" l="1"/>
  <c r="W761" i="3" s="1"/>
  <c r="A762" i="3"/>
  <c r="B762" i="3" s="1"/>
  <c r="L761" i="3"/>
  <c r="U761" i="3" l="1"/>
  <c r="Y760" i="3"/>
  <c r="AA762" i="3"/>
  <c r="Z762" i="3"/>
  <c r="AC762" i="3"/>
  <c r="P762" i="3"/>
  <c r="Q762" i="3" s="1"/>
  <c r="R762" i="3" s="1"/>
  <c r="S762" i="3" s="1"/>
  <c r="AD762" i="3"/>
  <c r="T762" i="3" l="1"/>
  <c r="D762" i="3" s="1"/>
  <c r="E762" i="3" l="1"/>
  <c r="H762" i="3" s="1"/>
  <c r="K762" i="3" s="1"/>
  <c r="AE762" i="3" s="1"/>
  <c r="AH762" i="3"/>
  <c r="AG762" i="3"/>
  <c r="G762" i="3"/>
  <c r="F762" i="3" l="1"/>
  <c r="I762" i="3"/>
  <c r="J762" i="3"/>
  <c r="M762" i="3"/>
  <c r="N762" i="3" s="1"/>
  <c r="V762" i="3"/>
  <c r="A763" i="3"/>
  <c r="B763" i="3" s="1"/>
  <c r="W762" i="3" l="1"/>
  <c r="L762" i="3"/>
  <c r="AC763" i="3"/>
  <c r="Z763" i="3"/>
  <c r="AA763" i="3"/>
  <c r="P763" i="3"/>
  <c r="Q763" i="3" s="1"/>
  <c r="R763" i="3" s="1"/>
  <c r="S763" i="3" s="1"/>
  <c r="AD763" i="3"/>
  <c r="U762" i="3" l="1"/>
  <c r="Y761" i="3"/>
  <c r="T763" i="3"/>
  <c r="D763" i="3" l="1"/>
  <c r="G763" i="3" s="1"/>
  <c r="AG763" i="3"/>
  <c r="AH763" i="3"/>
  <c r="E763" i="3"/>
  <c r="H763" i="3" s="1"/>
  <c r="K763" i="3" s="1"/>
  <c r="AE763" i="3" s="1"/>
  <c r="F763" i="3" l="1"/>
  <c r="I763" i="3"/>
  <c r="J763" i="3"/>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AD765" i="3"/>
  <c r="I764" i="3"/>
  <c r="W764" i="3" s="1"/>
  <c r="J764" i="3"/>
  <c r="AD764" i="3" s="1"/>
  <c r="M764" i="3"/>
  <c r="N764" i="3" s="1"/>
  <c r="T765" i="3" l="1"/>
  <c r="L764" i="3"/>
  <c r="AG765" i="3" l="1"/>
  <c r="AH765" i="3"/>
  <c r="U764" i="3"/>
  <c r="D765" i="3" s="1"/>
  <c r="Y763" i="3"/>
  <c r="E765" i="3" l="1"/>
  <c r="H765" i="3" s="1"/>
  <c r="K765" i="3" s="1"/>
  <c r="AE765" i="3" s="1"/>
  <c r="G765" i="3"/>
  <c r="F765" i="3" l="1"/>
  <c r="I765" i="3"/>
  <c r="J765" i="3"/>
  <c r="M765" i="3"/>
  <c r="N765" i="3" s="1"/>
  <c r="V765" i="3"/>
  <c r="A766" i="3"/>
  <c r="B766" i="3" s="1"/>
  <c r="W765" i="3" l="1"/>
  <c r="L765" i="3"/>
  <c r="AD766"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M766" i="3"/>
  <c r="N766" i="3" s="1"/>
  <c r="P767" i="3"/>
  <c r="Q767" i="3" s="1"/>
  <c r="R767" i="3" s="1"/>
  <c r="S767" i="3" s="1"/>
  <c r="AC767" i="3"/>
  <c r="AD767" i="3"/>
  <c r="AA767" i="3"/>
  <c r="Z767" i="3"/>
  <c r="T767" i="3" l="1"/>
  <c r="L766" i="3"/>
  <c r="AH767" i="3" l="1"/>
  <c r="AG767" i="3"/>
  <c r="U766" i="3"/>
  <c r="D767" i="3" s="1"/>
  <c r="Y765" i="3"/>
  <c r="E767" i="3" l="1"/>
  <c r="H767" i="3" s="1"/>
  <c r="K767" i="3" s="1"/>
  <c r="AE767" i="3" s="1"/>
  <c r="G767" i="3"/>
  <c r="F767" i="3" l="1"/>
  <c r="I767" i="3"/>
  <c r="J767" i="3"/>
  <c r="M767" i="3"/>
  <c r="N767" i="3" s="1"/>
  <c r="V767" i="3"/>
  <c r="A768" i="3"/>
  <c r="B768" i="3" s="1"/>
  <c r="W767" i="3" l="1"/>
  <c r="L767" i="3"/>
  <c r="AC768" i="3"/>
  <c r="AA768" i="3"/>
  <c r="AD768" i="3"/>
  <c r="P768" i="3"/>
  <c r="Q768" i="3" s="1"/>
  <c r="R768" i="3" s="1"/>
  <c r="S768" i="3" s="1"/>
  <c r="Z768" i="3"/>
  <c r="T768" i="3" l="1"/>
  <c r="AG768" i="3" s="1"/>
  <c r="U767" i="3"/>
  <c r="Y766" i="3"/>
  <c r="D768" i="3" l="1"/>
  <c r="G768" i="3" s="1"/>
  <c r="AH768" i="3"/>
  <c r="E768" i="3"/>
  <c r="H768" i="3" s="1"/>
  <c r="K768" i="3" l="1"/>
  <c r="AE768" i="3" s="1"/>
  <c r="I768" i="3"/>
  <c r="J768" i="3"/>
  <c r="M768" i="3"/>
  <c r="N768" i="3" s="1"/>
  <c r="F768" i="3"/>
  <c r="L768" i="3" l="1"/>
  <c r="V768" i="3"/>
  <c r="W768" i="3" s="1"/>
  <c r="A769" i="3"/>
  <c r="B769" i="3" s="1"/>
  <c r="AD769" i="3" l="1"/>
  <c r="AC769" i="3"/>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M769" i="3"/>
  <c r="N769" i="3" s="1"/>
  <c r="W769" i="3" l="1"/>
  <c r="L769" i="3"/>
  <c r="AC770" i="3"/>
  <c r="P770" i="3"/>
  <c r="Q770" i="3" s="1"/>
  <c r="R770" i="3" s="1"/>
  <c r="S770" i="3" s="1"/>
  <c r="AD770" i="3"/>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L770" i="3" s="1"/>
  <c r="AA771" i="3"/>
  <c r="AC771" i="3"/>
  <c r="P771" i="3"/>
  <c r="Q771" i="3" s="1"/>
  <c r="R771" i="3" s="1"/>
  <c r="S771" i="3" s="1"/>
  <c r="Z771" i="3"/>
  <c r="AD771" i="3"/>
  <c r="U770" i="3" l="1"/>
  <c r="Y769" i="3"/>
  <c r="T771" i="3"/>
  <c r="AH771" i="3" s="1"/>
  <c r="E771" i="3" l="1"/>
  <c r="H771" i="3" s="1"/>
  <c r="AG771" i="3"/>
  <c r="D771" i="3"/>
  <c r="K771" i="3" l="1"/>
  <c r="AE771" i="3" s="1"/>
  <c r="F771" i="3"/>
  <c r="G771" i="3"/>
  <c r="V771" i="3" l="1"/>
  <c r="A772" i="3"/>
  <c r="B772" i="3" s="1"/>
  <c r="I771" i="3"/>
  <c r="J771" i="3"/>
  <c r="M771" i="3"/>
  <c r="N771" i="3" s="1"/>
  <c r="L771" i="3" l="1"/>
  <c r="W771" i="3"/>
  <c r="AD772"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M772" i="3"/>
  <c r="N772" i="3" s="1"/>
  <c r="W772" i="3" l="1"/>
  <c r="L772" i="3"/>
  <c r="AA773" i="3"/>
  <c r="P773" i="3"/>
  <c r="Q773" i="3" s="1"/>
  <c r="R773" i="3" s="1"/>
  <c r="S773" i="3" s="1"/>
  <c r="Z773" i="3"/>
  <c r="AD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L773" i="3" s="1"/>
  <c r="AC774" i="3"/>
  <c r="P774" i="3"/>
  <c r="Q774" i="3" s="1"/>
  <c r="R774" i="3" s="1"/>
  <c r="S774" i="3" s="1"/>
  <c r="AA774" i="3"/>
  <c r="Z774" i="3"/>
  <c r="U773" i="3" l="1"/>
  <c r="Y772" i="3"/>
  <c r="T774" i="3"/>
  <c r="AG774" i="3" s="1"/>
  <c r="E774" i="3" l="1"/>
  <c r="H774" i="3" s="1"/>
  <c r="K774" i="3" s="1"/>
  <c r="AE774" i="3" s="1"/>
  <c r="AH774" i="3"/>
  <c r="D774" i="3"/>
  <c r="F774" i="3" l="1"/>
  <c r="G774" i="3"/>
  <c r="M774" i="3" s="1"/>
  <c r="N774" i="3" s="1"/>
  <c r="V774" i="3"/>
  <c r="A775" i="3"/>
  <c r="B775" i="3" s="1"/>
  <c r="I774" i="3" l="1"/>
  <c r="W774" i="3" s="1"/>
  <c r="J774" i="3"/>
  <c r="P775" i="3"/>
  <c r="Q775" i="3" s="1"/>
  <c r="R775" i="3" s="1"/>
  <c r="S775" i="3" s="1"/>
  <c r="Z775" i="3"/>
  <c r="AD775" i="3"/>
  <c r="AA775" i="3"/>
  <c r="AC775" i="3"/>
  <c r="L774" i="3" l="1"/>
  <c r="Y773"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D778" i="3"/>
  <c r="AA778" i="3"/>
  <c r="AC778" i="3"/>
  <c r="U777" i="3" l="1"/>
  <c r="Y776" i="3"/>
  <c r="T778" i="3"/>
  <c r="AH778" i="3" s="1"/>
  <c r="E778" i="3" l="1"/>
  <c r="H778" i="3" s="1"/>
  <c r="K778" i="3" s="1"/>
  <c r="AE778" i="3" s="1"/>
  <c r="AG778" i="3"/>
  <c r="D778" i="3"/>
  <c r="G778" i="3" s="1"/>
  <c r="F778" i="3" l="1"/>
  <c r="I778" i="3"/>
  <c r="J778" i="3"/>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AD785" i="3"/>
  <c r="P785" i="3"/>
  <c r="Q785" i="3" s="1"/>
  <c r="R785" i="3" s="1"/>
  <c r="S785" i="3" s="1"/>
  <c r="AC785" i="3"/>
  <c r="Z785" i="3"/>
  <c r="U784" i="3" l="1"/>
  <c r="Y783" i="3"/>
  <c r="T785" i="3"/>
  <c r="AH785" i="3" s="1"/>
  <c r="E785" i="3" l="1"/>
  <c r="H785" i="3" s="1"/>
  <c r="AG785" i="3"/>
  <c r="D785" i="3"/>
  <c r="K785" i="3" l="1"/>
  <c r="AE785" i="3" s="1"/>
  <c r="F785" i="3"/>
  <c r="G785" i="3"/>
  <c r="I785" i="3" l="1"/>
  <c r="J785" i="3"/>
  <c r="M785" i="3"/>
  <c r="N785" i="3" s="1"/>
  <c r="V785" i="3"/>
  <c r="A786" i="3"/>
  <c r="B786" i="3" s="1"/>
  <c r="W785" i="3" l="1"/>
  <c r="L785" i="3"/>
  <c r="Z786" i="3"/>
  <c r="AD786" i="3"/>
  <c r="AA786" i="3"/>
  <c r="P786" i="3"/>
  <c r="Q786" i="3" s="1"/>
  <c r="R786" i="3" s="1"/>
  <c r="S786" i="3" s="1"/>
  <c r="AC786" i="3"/>
  <c r="U785" i="3" l="1"/>
  <c r="Y784" i="3"/>
  <c r="T786" i="3"/>
  <c r="E786" i="3" l="1"/>
  <c r="H786" i="3" s="1"/>
  <c r="K786" i="3" s="1"/>
  <c r="AE786" i="3" s="1"/>
  <c r="AG786" i="3"/>
  <c r="D786" i="3"/>
  <c r="G786" i="3" s="1"/>
  <c r="AH786" i="3"/>
  <c r="F786" i="3" l="1"/>
  <c r="I786" i="3"/>
  <c r="J786" i="3"/>
  <c r="M786" i="3"/>
  <c r="N786" i="3" s="1"/>
  <c r="V786" i="3"/>
  <c r="A787" i="3"/>
  <c r="B787" i="3" s="1"/>
  <c r="L786" i="3" l="1"/>
  <c r="W786" i="3"/>
  <c r="AC787" i="3"/>
  <c r="P787" i="3"/>
  <c r="Q787" i="3" s="1"/>
  <c r="R787" i="3" s="1"/>
  <c r="S787" i="3" s="1"/>
  <c r="Z787" i="3"/>
  <c r="AD787" i="3"/>
  <c r="AA787" i="3"/>
  <c r="U786" i="3" l="1"/>
  <c r="Y785" i="3"/>
  <c r="T787" i="3"/>
  <c r="D787" i="3" l="1"/>
  <c r="G787" i="3" s="1"/>
  <c r="AH787" i="3"/>
  <c r="E787" i="3"/>
  <c r="H787" i="3" s="1"/>
  <c r="AG787" i="3"/>
  <c r="F787" i="3" l="1"/>
  <c r="I787" i="3"/>
  <c r="J787" i="3"/>
  <c r="M787" i="3"/>
  <c r="N787" i="3" s="1"/>
  <c r="K787" i="3"/>
  <c r="AE787" i="3" s="1"/>
  <c r="V787" i="3" l="1"/>
  <c r="W787" i="3" s="1"/>
  <c r="A788" i="3"/>
  <c r="B788" i="3" s="1"/>
  <c r="L787" i="3"/>
  <c r="U787" i="3" l="1"/>
  <c r="Y786" i="3"/>
  <c r="AC788" i="3"/>
  <c r="Z788" i="3"/>
  <c r="AD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L788" i="3" s="1"/>
  <c r="W788" i="3"/>
  <c r="P789" i="3"/>
  <c r="Q789" i="3" s="1"/>
  <c r="R789" i="3" s="1"/>
  <c r="S789" i="3" s="1"/>
  <c r="AC789" i="3"/>
  <c r="AD789" i="3"/>
  <c r="AA789" i="3"/>
  <c r="Z789" i="3"/>
  <c r="U788" i="3" l="1"/>
  <c r="Y787" i="3"/>
  <c r="T789" i="3"/>
  <c r="D789" i="3" l="1"/>
  <c r="G789" i="3" s="1"/>
  <c r="E789" i="3"/>
  <c r="H789" i="3" s="1"/>
  <c r="AH789" i="3"/>
  <c r="AG789" i="3"/>
  <c r="F789" i="3" l="1"/>
  <c r="I789" i="3"/>
  <c r="J789" i="3"/>
  <c r="M789" i="3"/>
  <c r="N789" i="3" s="1"/>
  <c r="K789" i="3"/>
  <c r="AE789" i="3" s="1"/>
  <c r="L789" i="3" l="1"/>
  <c r="V789" i="3"/>
  <c r="W789" i="3" s="1"/>
  <c r="A790" i="3"/>
  <c r="B790" i="3" s="1"/>
  <c r="AA790" i="3" l="1"/>
  <c r="AC790" i="3"/>
  <c r="Z790" i="3"/>
  <c r="AD790" i="3"/>
  <c r="P790" i="3"/>
  <c r="Q790" i="3" s="1"/>
  <c r="R790" i="3" s="1"/>
  <c r="S790" i="3" s="1"/>
  <c r="U789" i="3"/>
  <c r="Y788" i="3"/>
  <c r="T790" i="3" l="1"/>
  <c r="D790" i="3" s="1"/>
  <c r="AG790" i="3" l="1"/>
  <c r="G790" i="3"/>
  <c r="AH790" i="3"/>
  <c r="E790" i="3"/>
  <c r="H790" i="3" s="1"/>
  <c r="F790" i="3" l="1"/>
  <c r="I790" i="3"/>
  <c r="J790" i="3"/>
  <c r="M790" i="3"/>
  <c r="N790" i="3" s="1"/>
  <c r="K790" i="3"/>
  <c r="AE790" i="3" s="1"/>
  <c r="V790" i="3" l="1"/>
  <c r="W790" i="3" s="1"/>
  <c r="A791" i="3"/>
  <c r="B791" i="3" s="1"/>
  <c r="L790" i="3"/>
  <c r="U790" i="3" l="1"/>
  <c r="Y789" i="3"/>
  <c r="AD791" i="3"/>
  <c r="P791" i="3"/>
  <c r="Q791" i="3" s="1"/>
  <c r="R791" i="3" s="1"/>
  <c r="S791" i="3" s="1"/>
  <c r="AA791" i="3"/>
  <c r="AC791" i="3"/>
  <c r="Z791" i="3"/>
  <c r="T791" i="3" l="1"/>
  <c r="AG791" i="3" s="1"/>
  <c r="E791" i="3" l="1"/>
  <c r="H791" i="3" s="1"/>
  <c r="K791" i="3" s="1"/>
  <c r="AE791" i="3" s="1"/>
  <c r="D791" i="3"/>
  <c r="G791" i="3" s="1"/>
  <c r="AH791" i="3"/>
  <c r="F791" i="3" l="1"/>
  <c r="I791" i="3"/>
  <c r="J791" i="3"/>
  <c r="M791" i="3"/>
  <c r="N791" i="3" s="1"/>
  <c r="V791" i="3"/>
  <c r="A792" i="3"/>
  <c r="B792" i="3" s="1"/>
  <c r="W791" i="3" l="1"/>
  <c r="L791" i="3"/>
  <c r="P792" i="3"/>
  <c r="Q792" i="3" s="1"/>
  <c r="R792" i="3" s="1"/>
  <c r="S792" i="3" s="1"/>
  <c r="AC792" i="3"/>
  <c r="AD792" i="3"/>
  <c r="Z792" i="3"/>
  <c r="AA792" i="3"/>
  <c r="U791" i="3" l="1"/>
  <c r="Y790" i="3"/>
  <c r="T792" i="3"/>
  <c r="AG792" i="3" s="1"/>
  <c r="AH792" i="3" l="1"/>
  <c r="D792" i="3"/>
  <c r="E792" i="3"/>
  <c r="H792" i="3" s="1"/>
  <c r="F792" i="3" l="1"/>
  <c r="G792" i="3"/>
  <c r="K792" i="3"/>
  <c r="AE792" i="3" s="1"/>
  <c r="I792" i="3" l="1"/>
  <c r="J792" i="3"/>
  <c r="M792" i="3"/>
  <c r="N792" i="3" s="1"/>
  <c r="V792" i="3"/>
  <c r="A793" i="3"/>
  <c r="B793" i="3" s="1"/>
  <c r="L792" i="3" l="1"/>
  <c r="W792" i="3"/>
  <c r="AD793"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L793" i="3" s="1"/>
  <c r="Z794" i="3"/>
  <c r="AC794" i="3"/>
  <c r="P794" i="3"/>
  <c r="Q794" i="3" s="1"/>
  <c r="R794" i="3" s="1"/>
  <c r="S794" i="3" s="1"/>
  <c r="AA794" i="3"/>
  <c r="T794" i="3" l="1"/>
  <c r="AH794" i="3" s="1"/>
  <c r="U793" i="3"/>
  <c r="Y792" i="3"/>
  <c r="AG794" i="3" l="1"/>
  <c r="D794" i="3"/>
  <c r="E794" i="3"/>
  <c r="H794" i="3" s="1"/>
  <c r="F794" i="3" l="1"/>
  <c r="G794" i="3"/>
  <c r="K794" i="3"/>
  <c r="AE794" i="3" s="1"/>
  <c r="I794" i="3" l="1"/>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AD798" i="3"/>
  <c r="T798" i="3" l="1"/>
  <c r="U797" i="3"/>
  <c r="Y796" i="3"/>
  <c r="E798" i="3" l="1"/>
  <c r="H798" i="3" s="1"/>
  <c r="K798" i="3" s="1"/>
  <c r="AE798" i="3" s="1"/>
  <c r="D798" i="3"/>
  <c r="G798" i="3" s="1"/>
  <c r="AH798" i="3"/>
  <c r="AG798" i="3"/>
  <c r="F798" i="3" l="1"/>
  <c r="I798" i="3"/>
  <c r="J798" i="3"/>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D808" i="3"/>
  <c r="AC808" i="3"/>
  <c r="U807" i="3" l="1"/>
  <c r="Y806" i="3"/>
  <c r="T808" i="3"/>
  <c r="AH808" i="3" s="1"/>
  <c r="D808" i="3" l="1"/>
  <c r="G808" i="3" s="1"/>
  <c r="E808" i="3"/>
  <c r="H808" i="3" s="1"/>
  <c r="K808" i="3" s="1"/>
  <c r="AE808" i="3" s="1"/>
  <c r="AG808" i="3"/>
  <c r="F808" i="3" l="1"/>
  <c r="I808" i="3"/>
  <c r="J808" i="3"/>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AD818"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AD828" i="3"/>
  <c r="P828" i="3"/>
  <c r="Q828" i="3" s="1"/>
  <c r="R828" i="3" s="1"/>
  <c r="S828" i="3" s="1"/>
  <c r="AC828" i="3"/>
  <c r="AA828" i="3"/>
  <c r="Z828" i="3"/>
  <c r="U827" i="3" l="1"/>
  <c r="Y826" i="3"/>
  <c r="T828" i="3"/>
  <c r="D828" i="3" l="1"/>
  <c r="G828" i="3" s="1"/>
  <c r="AG828" i="3"/>
  <c r="AH828" i="3"/>
  <c r="E828" i="3"/>
  <c r="H828" i="3" s="1"/>
  <c r="F828" i="3" l="1"/>
  <c r="I828" i="3"/>
  <c r="J828" i="3"/>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AD838" i="3"/>
  <c r="U837" i="3" l="1"/>
  <c r="Y836" i="3"/>
  <c r="T838" i="3"/>
  <c r="AH838" i="3" s="1"/>
  <c r="E838" i="3" l="1"/>
  <c r="H838" i="3" s="1"/>
  <c r="D838" i="3"/>
  <c r="AG838" i="3"/>
  <c r="K838" i="3" l="1"/>
  <c r="AE838" i="3" s="1"/>
  <c r="F838" i="3"/>
  <c r="G838" i="3"/>
  <c r="V838" i="3" l="1"/>
  <c r="A839" i="3"/>
  <c r="B839" i="3" s="1"/>
  <c r="I838" i="3"/>
  <c r="J838" i="3"/>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AD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AD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AD868" i="3"/>
  <c r="Z868" i="3"/>
  <c r="AA868" i="3"/>
  <c r="AC868" i="3"/>
  <c r="P868" i="3"/>
  <c r="Q868" i="3" s="1"/>
  <c r="R868" i="3" s="1"/>
  <c r="S868" i="3" s="1"/>
  <c r="T868" i="3" l="1"/>
  <c r="U867" i="3"/>
  <c r="Y866" i="3"/>
  <c r="E868" i="3" l="1"/>
  <c r="H868" i="3" s="1"/>
  <c r="K868" i="3" s="1"/>
  <c r="AE868" i="3" s="1"/>
  <c r="AH868" i="3"/>
  <c r="D868" i="3"/>
  <c r="G868" i="3" s="1"/>
  <c r="AG868" i="3"/>
  <c r="F868" i="3" l="1"/>
  <c r="I868" i="3"/>
  <c r="J868" i="3"/>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D878" i="3"/>
  <c r="AC878" i="3"/>
  <c r="AA878" i="3"/>
  <c r="P878" i="3"/>
  <c r="Q878" i="3" s="1"/>
  <c r="R878" i="3" s="1"/>
  <c r="S878" i="3" s="1"/>
  <c r="T878" i="3" l="1"/>
  <c r="E878" i="3" s="1"/>
  <c r="H878" i="3" s="1"/>
  <c r="D878" i="3" l="1"/>
  <c r="G878" i="3" s="1"/>
  <c r="AG878" i="3"/>
  <c r="AH878" i="3"/>
  <c r="K878" i="3"/>
  <c r="AE878" i="3" s="1"/>
  <c r="F878" i="3" l="1"/>
  <c r="I878" i="3"/>
  <c r="J878" i="3"/>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D888" i="3"/>
  <c r="AA888" i="3"/>
  <c r="Z888" i="3"/>
  <c r="P888" i="3"/>
  <c r="Q888" i="3" s="1"/>
  <c r="R888" i="3" s="1"/>
  <c r="S888" i="3" s="1"/>
  <c r="T888" i="3" l="1"/>
  <c r="U887" i="3"/>
  <c r="Y886" i="3"/>
  <c r="E888" i="3" l="1"/>
  <c r="H888" i="3" s="1"/>
  <c r="K888" i="3" s="1"/>
  <c r="AE888" i="3" s="1"/>
  <c r="D888" i="3"/>
  <c r="G888" i="3" s="1"/>
  <c r="AG888" i="3"/>
  <c r="AH888" i="3"/>
  <c r="F888" i="3" l="1"/>
  <c r="I888" i="3"/>
  <c r="J888" i="3"/>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AD898" i="3"/>
  <c r="P898" i="3"/>
  <c r="Q898" i="3" s="1"/>
  <c r="R898" i="3" s="1"/>
  <c r="S898" i="3" s="1"/>
  <c r="Z898" i="3"/>
  <c r="AC898" i="3"/>
  <c r="U897" i="3"/>
  <c r="Y896" i="3"/>
  <c r="T898" i="3" l="1"/>
  <c r="D898" i="3" s="1"/>
  <c r="G898" i="3" l="1"/>
  <c r="AG898" i="3"/>
  <c r="E898" i="3"/>
  <c r="H898" i="3" s="1"/>
  <c r="AH898" i="3"/>
  <c r="F898" i="3" l="1"/>
  <c r="I898" i="3"/>
  <c r="J898" i="3"/>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D908" i="3"/>
  <c r="AC908" i="3"/>
  <c r="T908" i="3" l="1"/>
  <c r="L907" i="3"/>
  <c r="AG908" i="3" l="1"/>
  <c r="AH908" i="3"/>
  <c r="U907" i="3"/>
  <c r="E908" i="3" s="1"/>
  <c r="H908" i="3" s="1"/>
  <c r="Y906" i="3"/>
  <c r="D908" i="3" l="1"/>
  <c r="G908" i="3" s="1"/>
  <c r="K908" i="3"/>
  <c r="AE908" i="3" s="1"/>
  <c r="F908" i="3" l="1"/>
  <c r="I908" i="3"/>
  <c r="J908" i="3"/>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U914" i="3" l="1"/>
  <c r="Y913" i="3"/>
  <c r="T915" i="3"/>
  <c r="AH915" i="3" s="1"/>
  <c r="E915" i="3" l="1"/>
  <c r="H915" i="3" s="1"/>
  <c r="D915" i="3"/>
  <c r="AG915" i="3"/>
  <c r="K915" i="3" l="1"/>
  <c r="AE915" i="3" s="1"/>
  <c r="F915" i="3"/>
  <c r="G915" i="3"/>
  <c r="I915" i="3" l="1"/>
  <c r="J915" i="3"/>
  <c r="AD915" i="3" s="1"/>
  <c r="M915" i="3"/>
  <c r="N915" i="3" s="1"/>
  <c r="V915" i="3"/>
  <c r="A916" i="3"/>
  <c r="B916" i="3" s="1"/>
  <c r="W915" i="3" l="1"/>
  <c r="L915" i="3"/>
  <c r="AC916" i="3"/>
  <c r="AA916" i="3"/>
  <c r="Z916" i="3"/>
  <c r="P916" i="3"/>
  <c r="Q916" i="3" s="1"/>
  <c r="R916" i="3" s="1"/>
  <c r="S916" i="3" s="1"/>
  <c r="U915" i="3" l="1"/>
  <c r="Y914" i="3"/>
  <c r="T916" i="3"/>
  <c r="D916" i="3" l="1"/>
  <c r="G916" i="3" s="1"/>
  <c r="AG916" i="3"/>
  <c r="AH916" i="3"/>
  <c r="E916" i="3"/>
  <c r="H916" i="3" s="1"/>
  <c r="K916" i="3" l="1"/>
  <c r="AE916" i="3" s="1"/>
  <c r="I916" i="3"/>
  <c r="J916" i="3"/>
  <c r="AD916" i="3" s="1"/>
  <c r="M916" i="3"/>
  <c r="N916" i="3" s="1"/>
  <c r="F916" i="3"/>
  <c r="L916" i="3" l="1"/>
  <c r="V916" i="3"/>
  <c r="W916" i="3" s="1"/>
  <c r="A917" i="3"/>
  <c r="B917" i="3" s="1"/>
  <c r="U916" i="3" l="1"/>
  <c r="Y915" i="3"/>
  <c r="AC917" i="3"/>
  <c r="Z917" i="3"/>
  <c r="P917" i="3"/>
  <c r="Q917" i="3" s="1"/>
  <c r="R917" i="3" s="1"/>
  <c r="S917" i="3" s="1"/>
  <c r="AA917" i="3"/>
  <c r="T917" i="3" l="1"/>
  <c r="AG917" i="3" s="1"/>
  <c r="E917" i="3" l="1"/>
  <c r="H917" i="3" s="1"/>
  <c r="K917" i="3" s="1"/>
  <c r="AE917" i="3" s="1"/>
  <c r="AH917" i="3"/>
  <c r="D917" i="3"/>
  <c r="F917" i="3" l="1"/>
  <c r="G917" i="3"/>
  <c r="J917" i="3" s="1"/>
  <c r="AD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A919" i="3"/>
  <c r="U918" i="3" l="1"/>
  <c r="Y917" i="3"/>
  <c r="T919" i="3"/>
  <c r="AG919" i="3" s="1"/>
  <c r="E919" i="3" l="1"/>
  <c r="H919" i="3" s="1"/>
  <c r="K919" i="3" s="1"/>
  <c r="AE919" i="3" s="1"/>
  <c r="AH919" i="3"/>
  <c r="D919" i="3"/>
  <c r="V919" i="3" l="1"/>
  <c r="A920" i="3"/>
  <c r="B920" i="3" s="1"/>
  <c r="F919" i="3"/>
  <c r="G919" i="3"/>
  <c r="I919" i="3" l="1"/>
  <c r="W919" i="3" s="1"/>
  <c r="J919" i="3"/>
  <c r="AD919" i="3" s="1"/>
  <c r="M919" i="3"/>
  <c r="N919" i="3" s="1"/>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AD920" i="3" s="1"/>
  <c r="M920" i="3"/>
  <c r="N920" i="3" s="1"/>
  <c r="W920" i="3" l="1"/>
  <c r="L920" i="3"/>
  <c r="AA921" i="3"/>
  <c r="Z921" i="3"/>
  <c r="P921" i="3"/>
  <c r="Q921" i="3" s="1"/>
  <c r="R921" i="3" s="1"/>
  <c r="S921" i="3" s="1"/>
  <c r="AC921" i="3"/>
  <c r="U920" i="3" l="1"/>
  <c r="Y919" i="3"/>
  <c r="T921" i="3"/>
  <c r="AG921" i="3" s="1"/>
  <c r="E921" i="3" l="1"/>
  <c r="H921" i="3" s="1"/>
  <c r="K921" i="3" s="1"/>
  <c r="AE921" i="3" s="1"/>
  <c r="AH921" i="3"/>
  <c r="D921" i="3"/>
  <c r="G921" i="3" s="1"/>
  <c r="F921" i="3" l="1"/>
  <c r="I921" i="3"/>
  <c r="J921" i="3"/>
  <c r="AD921" i="3" s="1"/>
  <c r="M921" i="3"/>
  <c r="N921" i="3" s="1"/>
  <c r="V921" i="3"/>
  <c r="A922" i="3"/>
  <c r="B922" i="3" s="1"/>
  <c r="W921" i="3" l="1"/>
  <c r="L921" i="3"/>
  <c r="AC922" i="3"/>
  <c r="AA922" i="3"/>
  <c r="Z922" i="3"/>
  <c r="P922" i="3"/>
  <c r="Q922" i="3" s="1"/>
  <c r="R922" i="3" s="1"/>
  <c r="S922" i="3" s="1"/>
  <c r="U921" i="3" l="1"/>
  <c r="Y920" i="3"/>
  <c r="T922" i="3"/>
  <c r="E922" i="3" l="1"/>
  <c r="H922" i="3" s="1"/>
  <c r="K922" i="3" s="1"/>
  <c r="AE922" i="3" s="1"/>
  <c r="AH922" i="3"/>
  <c r="D922" i="3"/>
  <c r="AG922" i="3"/>
  <c r="F922" i="3" l="1"/>
  <c r="G922" i="3"/>
  <c r="V922" i="3"/>
  <c r="A923" i="3"/>
  <c r="B923" i="3" s="1"/>
  <c r="AC923" i="3" l="1"/>
  <c r="Z923" i="3"/>
  <c r="AA923" i="3"/>
  <c r="P923" i="3"/>
  <c r="Q923" i="3" s="1"/>
  <c r="R923" i="3" s="1"/>
  <c r="S923" i="3" s="1"/>
  <c r="I922" i="3"/>
  <c r="W922" i="3" s="1"/>
  <c r="J922" i="3"/>
  <c r="AD922" i="3" s="1"/>
  <c r="M922" i="3"/>
  <c r="N922" i="3" s="1"/>
  <c r="L922" i="3" l="1"/>
  <c r="T923" i="3"/>
  <c r="AH923" i="3" l="1"/>
  <c r="AG923" i="3"/>
  <c r="U922" i="3"/>
  <c r="D923" i="3" s="1"/>
  <c r="Y921" i="3"/>
  <c r="E923" i="3" l="1"/>
  <c r="H923" i="3" s="1"/>
  <c r="K923" i="3" s="1"/>
  <c r="AE923" i="3" s="1"/>
  <c r="G923" i="3"/>
  <c r="F923" i="3" l="1"/>
  <c r="V923" i="3"/>
  <c r="A924" i="3"/>
  <c r="B924" i="3" s="1"/>
  <c r="I923" i="3"/>
  <c r="J923" i="3"/>
  <c r="AD923" i="3" s="1"/>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D928" i="3"/>
  <c r="AA928" i="3"/>
  <c r="Z928" i="3"/>
  <c r="P928" i="3"/>
  <c r="Q928" i="3" s="1"/>
  <c r="R928" i="3" s="1"/>
  <c r="S928" i="3" s="1"/>
  <c r="T928" i="3" l="1"/>
  <c r="D928" i="3" s="1"/>
  <c r="AH928" i="3" l="1"/>
  <c r="E928" i="3"/>
  <c r="H928" i="3" s="1"/>
  <c r="K928" i="3" s="1"/>
  <c r="AE928" i="3" s="1"/>
  <c r="AG928" i="3"/>
  <c r="G928" i="3"/>
  <c r="F928" i="3" l="1"/>
  <c r="I928" i="3"/>
  <c r="J928" i="3"/>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AD938" i="3"/>
  <c r="T938" i="3" l="1"/>
  <c r="AG938" i="3" s="1"/>
  <c r="U937" i="3"/>
  <c r="Y936" i="3"/>
  <c r="D938" i="3" l="1"/>
  <c r="AH938" i="3"/>
  <c r="E938" i="3"/>
  <c r="H938" i="3" s="1"/>
  <c r="F938" i="3" l="1"/>
  <c r="G938" i="3"/>
  <c r="J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A945" i="3"/>
  <c r="U944" i="3" l="1"/>
  <c r="Y943" i="3"/>
  <c r="T945" i="3"/>
  <c r="D945" i="3" l="1"/>
  <c r="G945" i="3" s="1"/>
  <c r="AH945" i="3"/>
  <c r="E945" i="3"/>
  <c r="H945" i="3" s="1"/>
  <c r="AG945" i="3"/>
  <c r="F945" i="3" l="1"/>
  <c r="I945" i="3"/>
  <c r="J945" i="3"/>
  <c r="AD945" i="3" s="1"/>
  <c r="M945" i="3"/>
  <c r="N945" i="3" s="1"/>
  <c r="K945" i="3"/>
  <c r="AE945" i="3" s="1"/>
  <c r="V945" i="3" l="1"/>
  <c r="W945" i="3" s="1"/>
  <c r="A946" i="3"/>
  <c r="B946" i="3" s="1"/>
  <c r="L945" i="3"/>
  <c r="U945" i="3" l="1"/>
  <c r="Y944" i="3"/>
  <c r="P946" i="3"/>
  <c r="Q946" i="3" s="1"/>
  <c r="R946" i="3" s="1"/>
  <c r="S946" i="3" s="1"/>
  <c r="AC946" i="3"/>
  <c r="AA946" i="3"/>
  <c r="Z946" i="3"/>
  <c r="T946" i="3" l="1"/>
  <c r="E946" i="3" s="1"/>
  <c r="H946" i="3" s="1"/>
  <c r="K946" i="3" l="1"/>
  <c r="AE946" i="3" s="1"/>
  <c r="AG946" i="3"/>
  <c r="D946" i="3"/>
  <c r="AH946" i="3"/>
  <c r="F946" i="3" l="1"/>
  <c r="G946" i="3"/>
  <c r="V946" i="3"/>
  <c r="A947" i="3"/>
  <c r="B947" i="3" s="1"/>
  <c r="Z947" i="3" l="1"/>
  <c r="AC947" i="3"/>
  <c r="P947" i="3"/>
  <c r="Q947" i="3" s="1"/>
  <c r="R947" i="3" s="1"/>
  <c r="S947" i="3" s="1"/>
  <c r="AA947" i="3"/>
  <c r="I946" i="3"/>
  <c r="W946" i="3" s="1"/>
  <c r="J946" i="3"/>
  <c r="AD946" i="3" s="1"/>
  <c r="M946" i="3"/>
  <c r="N946" i="3" s="1"/>
  <c r="L946" i="3" l="1"/>
  <c r="T947" i="3"/>
  <c r="AH947" i="3" l="1"/>
  <c r="AG947" i="3"/>
  <c r="U946" i="3"/>
  <c r="E947" i="3" s="1"/>
  <c r="H947" i="3" s="1"/>
  <c r="Y945" i="3"/>
  <c r="D947" i="3" l="1"/>
  <c r="G947" i="3" s="1"/>
  <c r="K947" i="3"/>
  <c r="AE947" i="3" s="1"/>
  <c r="F947" i="3" l="1"/>
  <c r="V947" i="3"/>
  <c r="A948" i="3"/>
  <c r="B948" i="3" s="1"/>
  <c r="I947" i="3"/>
  <c r="J947" i="3"/>
  <c r="AD947" i="3" s="1"/>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A949" i="3"/>
  <c r="AC949" i="3"/>
  <c r="Z949" i="3"/>
  <c r="P949" i="3"/>
  <c r="Q949" i="3" s="1"/>
  <c r="R949" i="3" s="1"/>
  <c r="S949" i="3" s="1"/>
  <c r="U948" i="3" l="1"/>
  <c r="Y947" i="3"/>
  <c r="T949" i="3"/>
  <c r="AH949" i="3" s="1"/>
  <c r="AG949" i="3" l="1"/>
  <c r="D949" i="3"/>
  <c r="G949" i="3" s="1"/>
  <c r="E949" i="3"/>
  <c r="H949" i="3" s="1"/>
  <c r="K949" i="3" s="1"/>
  <c r="AE949" i="3" s="1"/>
  <c r="F949" i="3" l="1"/>
  <c r="I949" i="3"/>
  <c r="J949" i="3"/>
  <c r="AD949" i="3" s="1"/>
  <c r="M949" i="3"/>
  <c r="N949" i="3" s="1"/>
  <c r="V949" i="3"/>
  <c r="A950" i="3"/>
  <c r="B950" i="3" s="1"/>
  <c r="W949" i="3" l="1"/>
  <c r="L949" i="3"/>
  <c r="Z950" i="3"/>
  <c r="AC950" i="3"/>
  <c r="P950" i="3"/>
  <c r="Q950" i="3" s="1"/>
  <c r="R950" i="3" s="1"/>
  <c r="S950" i="3" s="1"/>
  <c r="AA950" i="3"/>
  <c r="T950" i="3" l="1"/>
  <c r="U949" i="3"/>
  <c r="Y948" i="3"/>
  <c r="D950" i="3" l="1"/>
  <c r="G950" i="3" s="1"/>
  <c r="AG950" i="3"/>
  <c r="E950" i="3"/>
  <c r="H950" i="3" s="1"/>
  <c r="K950" i="3" s="1"/>
  <c r="AE950" i="3" s="1"/>
  <c r="AH950" i="3"/>
  <c r="F950" i="3" l="1"/>
  <c r="I950" i="3"/>
  <c r="J950" i="3"/>
  <c r="AD950" i="3" s="1"/>
  <c r="M950" i="3"/>
  <c r="N950" i="3" s="1"/>
  <c r="V950" i="3"/>
  <c r="A951" i="3"/>
  <c r="B951" i="3" s="1"/>
  <c r="W950" i="3" l="1"/>
  <c r="P951" i="3"/>
  <c r="Q951" i="3" s="1"/>
  <c r="R951" i="3" s="1"/>
  <c r="S951" i="3" s="1"/>
  <c r="AA951" i="3"/>
  <c r="AC951" i="3"/>
  <c r="Z951" i="3"/>
  <c r="L950" i="3"/>
  <c r="T951" i="3" l="1"/>
  <c r="U950" i="3"/>
  <c r="Y949" i="3"/>
  <c r="D951" i="3" l="1"/>
  <c r="G951" i="3" s="1"/>
  <c r="AH951" i="3"/>
  <c r="AG951" i="3"/>
  <c r="E951" i="3"/>
  <c r="H951" i="3" s="1"/>
  <c r="K951" i="3" s="1"/>
  <c r="AE951" i="3" s="1"/>
  <c r="F951" i="3" l="1"/>
  <c r="I951" i="3"/>
  <c r="J951" i="3"/>
  <c r="AD951" i="3" s="1"/>
  <c r="M951" i="3"/>
  <c r="N951" i="3" s="1"/>
  <c r="V951" i="3"/>
  <c r="A952" i="3"/>
  <c r="B952" i="3" s="1"/>
  <c r="AC952" i="3" l="1"/>
  <c r="Z952" i="3"/>
  <c r="P952" i="3"/>
  <c r="Q952" i="3" s="1"/>
  <c r="R952" i="3" s="1"/>
  <c r="S952" i="3" s="1"/>
  <c r="AA952" i="3"/>
  <c r="W951" i="3"/>
  <c r="L951" i="3"/>
  <c r="U951" i="3" l="1"/>
  <c r="Y950" i="3"/>
  <c r="T952" i="3"/>
  <c r="D952" i="3" l="1"/>
  <c r="G952" i="3" s="1"/>
  <c r="E952" i="3"/>
  <c r="H952" i="3" s="1"/>
  <c r="AH952" i="3"/>
  <c r="AG952" i="3"/>
  <c r="F952" i="3" l="1"/>
  <c r="I952" i="3"/>
  <c r="J952" i="3"/>
  <c r="AD952" i="3" s="1"/>
  <c r="M952" i="3"/>
  <c r="N952" i="3" s="1"/>
  <c r="K952" i="3"/>
  <c r="AE952" i="3" s="1"/>
  <c r="V952" i="3" l="1"/>
  <c r="W952" i="3" s="1"/>
  <c r="A953" i="3"/>
  <c r="B953" i="3" s="1"/>
  <c r="L952" i="3"/>
  <c r="U952" i="3" l="1"/>
  <c r="Y951" i="3"/>
  <c r="Z953" i="3"/>
  <c r="AA953" i="3"/>
  <c r="P953" i="3"/>
  <c r="Q953" i="3" s="1"/>
  <c r="R953" i="3" s="1"/>
  <c r="S953" i="3" s="1"/>
  <c r="AC953" i="3"/>
  <c r="T953" i="3" l="1"/>
  <c r="AG953" i="3" s="1"/>
  <c r="E953" i="3" l="1"/>
  <c r="H953" i="3" s="1"/>
  <c r="K953" i="3" s="1"/>
  <c r="AE953" i="3" s="1"/>
  <c r="AH953" i="3"/>
  <c r="D953" i="3"/>
  <c r="G953" i="3" s="1"/>
  <c r="F953" i="3" l="1"/>
  <c r="I953" i="3"/>
  <c r="J953" i="3"/>
  <c r="AD953" i="3" s="1"/>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AD968" i="3"/>
  <c r="L967" i="3" l="1"/>
  <c r="T968" i="3"/>
  <c r="AH968" i="3" l="1"/>
  <c r="AG968" i="3"/>
  <c r="U967" i="3"/>
  <c r="E968" i="3" s="1"/>
  <c r="H968" i="3" s="1"/>
  <c r="Y966" i="3"/>
  <c r="K968" i="3" l="1"/>
  <c r="AE968" i="3" s="1"/>
  <c r="D968" i="3"/>
  <c r="V968" i="3" l="1"/>
  <c r="A969" i="3"/>
  <c r="B969" i="3" s="1"/>
  <c r="F968" i="3"/>
  <c r="G968" i="3"/>
  <c r="I968" i="3" l="1"/>
  <c r="W968" i="3" s="1"/>
  <c r="J968" i="3"/>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AD978" i="3"/>
  <c r="Z978" i="3"/>
  <c r="AA978" i="3"/>
  <c r="P978" i="3"/>
  <c r="Q978" i="3" s="1"/>
  <c r="R978" i="3" s="1"/>
  <c r="S978" i="3" s="1"/>
  <c r="T978" i="3" l="1"/>
  <c r="U977" i="3"/>
  <c r="Y976" i="3"/>
  <c r="D978" i="3" l="1"/>
  <c r="G978" i="3" s="1"/>
  <c r="E978" i="3"/>
  <c r="H978" i="3" s="1"/>
  <c r="K978" i="3" s="1"/>
  <c r="AE978" i="3" s="1"/>
  <c r="AH978" i="3"/>
  <c r="AG978" i="3"/>
  <c r="F978" i="3" l="1"/>
  <c r="I978" i="3"/>
  <c r="J978" i="3"/>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C985" i="3"/>
  <c r="I984" i="3"/>
  <c r="W984" i="3" s="1"/>
  <c r="J984" i="3"/>
  <c r="AD984" i="3" s="1"/>
  <c r="M984" i="3"/>
  <c r="N984" i="3" s="1"/>
  <c r="T985" i="3" l="1"/>
  <c r="L984" i="3"/>
  <c r="AG985" i="3" l="1"/>
  <c r="AH985" i="3"/>
  <c r="U984" i="3"/>
  <c r="D985" i="3" s="1"/>
  <c r="Y983" i="3"/>
  <c r="G985" i="3" l="1"/>
  <c r="E985" i="3"/>
  <c r="H985" i="3" s="1"/>
  <c r="I985" i="3" l="1"/>
  <c r="J985" i="3"/>
  <c r="AD985" i="3" s="1"/>
  <c r="M985" i="3"/>
  <c r="N985" i="3" s="1"/>
  <c r="F985" i="3"/>
  <c r="K985" i="3"/>
  <c r="AE985" i="3" s="1"/>
  <c r="L985" i="3" l="1"/>
  <c r="V985" i="3"/>
  <c r="W985" i="3" s="1"/>
  <c r="A986" i="3"/>
  <c r="B986" i="3" s="1"/>
  <c r="U985" i="3" l="1"/>
  <c r="Y984" i="3"/>
  <c r="AC986" i="3"/>
  <c r="P986" i="3"/>
  <c r="Q986" i="3" s="1"/>
  <c r="R986" i="3" s="1"/>
  <c r="S986" i="3" s="1"/>
  <c r="Z986" i="3"/>
  <c r="AA986" i="3"/>
  <c r="T986" i="3" l="1"/>
  <c r="E986" i="3" s="1"/>
  <c r="H986" i="3" s="1"/>
  <c r="AG986" i="3" l="1"/>
  <c r="K986" i="3"/>
  <c r="AE986" i="3" s="1"/>
  <c r="AH986" i="3"/>
  <c r="D986" i="3"/>
  <c r="F986" i="3" l="1"/>
  <c r="G986" i="3"/>
  <c r="V986" i="3"/>
  <c r="A987" i="3"/>
  <c r="B987" i="3" s="1"/>
  <c r="Z987" i="3" l="1"/>
  <c r="AC987" i="3"/>
  <c r="P987" i="3"/>
  <c r="Q987" i="3" s="1"/>
  <c r="R987" i="3" s="1"/>
  <c r="S987" i="3" s="1"/>
  <c r="AA987" i="3"/>
  <c r="I986" i="3"/>
  <c r="W986" i="3" s="1"/>
  <c r="J986" i="3"/>
  <c r="AD986" i="3" s="1"/>
  <c r="M986" i="3"/>
  <c r="N986" i="3" s="1"/>
  <c r="L986" i="3" l="1"/>
  <c r="T987" i="3"/>
  <c r="U986" i="3" l="1"/>
  <c r="E987" i="3" s="1"/>
  <c r="H987" i="3" s="1"/>
  <c r="AH987" i="3"/>
  <c r="AG987" i="3"/>
  <c r="Y985" i="3"/>
  <c r="K987" i="3" l="1"/>
  <c r="AE987" i="3" s="1"/>
  <c r="D987" i="3"/>
  <c r="V987" i="3" l="1"/>
  <c r="A988" i="3"/>
  <c r="B988" i="3" s="1"/>
  <c r="F987" i="3"/>
  <c r="G987" i="3"/>
  <c r="I987" i="3" l="1"/>
  <c r="W987" i="3" s="1"/>
  <c r="J987" i="3"/>
  <c r="AD987" i="3" s="1"/>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P989" i="3"/>
  <c r="Q989" i="3" s="1"/>
  <c r="R989" i="3" s="1"/>
  <c r="S989" i="3" s="1"/>
  <c r="Z989" i="3"/>
  <c r="AA989" i="3"/>
  <c r="T989" i="3" l="1"/>
  <c r="U988" i="3"/>
  <c r="Y987" i="3"/>
  <c r="D989" i="3" l="1"/>
  <c r="G989" i="3" s="1"/>
  <c r="AG989" i="3"/>
  <c r="E989" i="3"/>
  <c r="H989" i="3" s="1"/>
  <c r="AH989" i="3"/>
  <c r="F989" i="3" l="1"/>
  <c r="I989" i="3"/>
  <c r="J989" i="3"/>
  <c r="AD989" i="3" s="1"/>
  <c r="M989" i="3"/>
  <c r="N989" i="3" s="1"/>
  <c r="K989" i="3"/>
  <c r="AE989" i="3" s="1"/>
  <c r="L989" i="3" l="1"/>
  <c r="V989" i="3"/>
  <c r="W989" i="3" s="1"/>
  <c r="A990" i="3"/>
  <c r="B990" i="3" s="1"/>
  <c r="U989" i="3" l="1"/>
  <c r="Y988" i="3"/>
  <c r="AC990" i="3"/>
  <c r="AA990" i="3"/>
  <c r="Z990" i="3"/>
  <c r="P990" i="3"/>
  <c r="Q990" i="3" s="1"/>
  <c r="R990" i="3" s="1"/>
  <c r="S990" i="3" s="1"/>
  <c r="T990" i="3" l="1"/>
  <c r="E990" i="3" s="1"/>
  <c r="H990" i="3" s="1"/>
  <c r="AH990" i="3" l="1"/>
  <c r="D990" i="3"/>
  <c r="G990" i="3" s="1"/>
  <c r="AG990" i="3"/>
  <c r="K990" i="3"/>
  <c r="AE990" i="3" s="1"/>
  <c r="F990" i="3" l="1"/>
  <c r="V990" i="3"/>
  <c r="A991" i="3"/>
  <c r="B991" i="3" s="1"/>
  <c r="I990" i="3"/>
  <c r="J990" i="3"/>
  <c r="AD990" i="3" s="1"/>
  <c r="M990" i="3"/>
  <c r="N990" i="3" s="1"/>
  <c r="L990" i="3" l="1"/>
  <c r="W990" i="3"/>
  <c r="AA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AD991" i="3" s="1"/>
  <c r="M991" i="3"/>
  <c r="N991" i="3" s="1"/>
  <c r="W991" i="3" l="1"/>
  <c r="L991" i="3"/>
  <c r="AC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Z993" i="3"/>
  <c r="AA993" i="3"/>
  <c r="P993" i="3"/>
  <c r="Q993" i="3" s="1"/>
  <c r="R993" i="3" s="1"/>
  <c r="S993" i="3" s="1"/>
  <c r="AC993" i="3"/>
  <c r="L992" i="3" l="1"/>
  <c r="U992" i="3" s="1"/>
  <c r="AD992" i="3"/>
  <c r="T993" i="3"/>
  <c r="Y991" i="3" l="1"/>
  <c r="AH993" i="3"/>
  <c r="D993" i="3"/>
  <c r="G993" i="3" s="1"/>
  <c r="E993" i="3"/>
  <c r="H993" i="3" s="1"/>
  <c r="K993" i="3" s="1"/>
  <c r="AE993" i="3" s="1"/>
  <c r="AG993" i="3"/>
  <c r="F993" i="3" l="1"/>
  <c r="V993" i="3"/>
  <c r="A994" i="3"/>
  <c r="B994" i="3" s="1"/>
  <c r="I993" i="3"/>
  <c r="J993" i="3"/>
  <c r="AD993" i="3" s="1"/>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D998" i="3"/>
  <c r="AC998" i="3"/>
  <c r="AA998" i="3"/>
  <c r="T998" i="3" l="1"/>
  <c r="AG998" i="3" s="1"/>
  <c r="U997" i="3"/>
  <c r="Y996" i="3"/>
  <c r="E998" i="3" l="1"/>
  <c r="H998" i="3" s="1"/>
  <c r="K998" i="3" s="1"/>
  <c r="AE998" i="3" s="1"/>
  <c r="AH998" i="3"/>
  <c r="D998" i="3"/>
  <c r="V998" i="3" l="1"/>
  <c r="A999" i="3"/>
  <c r="B999" i="3" s="1"/>
  <c r="F998" i="3"/>
  <c r="G998" i="3"/>
  <c r="I998" i="3" l="1"/>
  <c r="W998" i="3" s="1"/>
  <c r="J998" i="3"/>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W1003" i="3" s="1"/>
  <c r="A1004" i="3"/>
  <c r="B1004" i="3" s="1"/>
  <c r="L1003" i="3" l="1"/>
  <c r="P1004" i="3"/>
  <c r="Q1004" i="3" s="1"/>
  <c r="R1004" i="3" s="1"/>
  <c r="S1004" i="3" s="1"/>
  <c r="T1004" i="3" s="1"/>
  <c r="AA1004" i="3"/>
  <c r="Z1004" i="3"/>
  <c r="AC1004" i="3"/>
  <c r="AG1004" i="3" l="1"/>
  <c r="AH1004" i="3"/>
  <c r="U1003" i="3"/>
  <c r="D1004" i="3" s="1"/>
  <c r="Y1002" i="3"/>
  <c r="J48" i="1"/>
  <c r="L48" i="1"/>
  <c r="I48" i="1"/>
  <c r="J25" i="1"/>
  <c r="K48" i="1"/>
  <c r="M48" i="1"/>
  <c r="K25" i="1"/>
  <c r="I25" i="1"/>
  <c r="K27" i="1"/>
  <c r="I46" i="1"/>
  <c r="L46" i="1"/>
  <c r="M46" i="1"/>
  <c r="K46" i="1"/>
  <c r="J46" i="1"/>
  <c r="I27" i="1"/>
  <c r="J27" i="1"/>
  <c r="E1004" i="3" l="1"/>
  <c r="H1004" i="3" s="1"/>
  <c r="K1004" i="3" s="1"/>
  <c r="AE1004" i="3" s="1"/>
  <c r="C122" i="1"/>
  <c r="C155" i="1"/>
  <c r="C31" i="1"/>
  <c r="C126" i="1"/>
  <c r="C121" i="1"/>
  <c r="C124" i="1"/>
  <c r="C33" i="1"/>
  <c r="J47" i="1" s="1"/>
  <c r="C129" i="1"/>
  <c r="C130" i="1" s="1"/>
  <c r="M25" i="1"/>
  <c r="I72" i="7"/>
  <c r="I73" i="7" s="1"/>
  <c r="I70" i="7"/>
  <c r="G1004" i="3"/>
  <c r="B128" i="1"/>
  <c r="B123" i="1"/>
  <c r="B127" i="1"/>
  <c r="D155" i="1"/>
  <c r="B124" i="1"/>
  <c r="B126" i="1"/>
  <c r="B129" i="1"/>
  <c r="B125" i="1"/>
  <c r="D31" i="1"/>
  <c r="D33" i="1"/>
  <c r="J49" i="1" s="1"/>
  <c r="C146" i="1"/>
  <c r="C147" i="1" s="1"/>
  <c r="C138" i="1"/>
  <c r="C141" i="1"/>
  <c r="C143" i="1"/>
  <c r="C139" i="1"/>
  <c r="B140" i="1"/>
  <c r="B143" i="1"/>
  <c r="B142" i="1"/>
  <c r="B146" i="1"/>
  <c r="B144" i="1"/>
  <c r="B141" i="1"/>
  <c r="B145" i="1"/>
  <c r="M27" i="1"/>
  <c r="H72" i="7"/>
  <c r="H73" i="7" s="1"/>
  <c r="H70" i="7"/>
  <c r="F1004" i="3" l="1"/>
  <c r="L24" i="1" s="1"/>
  <c r="H49" i="1"/>
  <c r="D32" i="1"/>
  <c r="L42" i="1"/>
  <c r="I1004" i="3"/>
  <c r="J1004" i="3"/>
  <c r="M1004" i="3"/>
  <c r="N1004" i="3" s="1"/>
  <c r="E31" i="7"/>
  <c r="H47" i="1"/>
  <c r="C32" i="1"/>
  <c r="V1004" i="3"/>
  <c r="L1004" i="3" l="1"/>
  <c r="Y1004" i="3" s="1"/>
  <c r="AD1004" i="3"/>
  <c r="W1004" i="3"/>
  <c r="B135" i="1"/>
  <c r="B137" i="1"/>
  <c r="B133" i="1"/>
  <c r="B132" i="1" s="1"/>
  <c r="F133" i="1"/>
  <c r="F134" i="1"/>
  <c r="C133" i="1"/>
  <c r="C135" i="1"/>
  <c r="K24" i="1"/>
  <c r="K42" i="1"/>
  <c r="B150" i="1"/>
  <c r="B149" i="1" s="1"/>
  <c r="B154" i="1"/>
  <c r="B152" i="1"/>
  <c r="M41" i="1"/>
  <c r="H117" i="7"/>
  <c r="E62" i="7"/>
  <c r="F62" i="7" s="1"/>
  <c r="E120" i="7"/>
  <c r="F120" i="7" s="1"/>
  <c r="E119" i="7"/>
  <c r="F119" i="7" s="1"/>
  <c r="E133" i="7"/>
  <c r="E63" i="7"/>
  <c r="F63" i="7" s="1"/>
  <c r="H59" i="7"/>
  <c r="L31" i="7"/>
  <c r="E65" i="7"/>
  <c r="F65" i="7" s="1"/>
  <c r="Y1003" i="3" l="1"/>
  <c r="U1004" i="3"/>
  <c r="J43" i="1"/>
  <c r="I41" i="1"/>
  <c r="K41" i="1"/>
  <c r="H26" i="1"/>
  <c r="J31" i="7" s="1"/>
  <c r="L43" i="1"/>
  <c r="M43" i="1"/>
  <c r="K43" i="1"/>
  <c r="H43" i="1"/>
  <c r="I44" i="1"/>
  <c r="H44" i="1"/>
  <c r="J26" i="1"/>
  <c r="D161" i="1" s="1"/>
  <c r="M44" i="1"/>
  <c r="K26" i="1"/>
  <c r="K31" i="7" s="1"/>
  <c r="K23" i="1"/>
  <c r="S26" i="6" s="1"/>
  <c r="L41" i="1"/>
  <c r="L44" i="1"/>
  <c r="I26" i="1"/>
  <c r="B163" i="1" s="1"/>
  <c r="J41" i="1"/>
  <c r="I43" i="1"/>
  <c r="J44" i="1"/>
  <c r="H28" i="1"/>
  <c r="F151" i="1" s="1"/>
  <c r="M31" i="7"/>
  <c r="E121" i="7"/>
  <c r="F121" i="7" s="1"/>
  <c r="H116" i="7"/>
  <c r="H58" i="7"/>
  <c r="E64" i="7"/>
  <c r="F64" i="7" s="1"/>
  <c r="H55" i="7" l="1"/>
  <c r="H112" i="7"/>
  <c r="H53" i="7"/>
  <c r="P31" i="1"/>
  <c r="P32" i="1"/>
  <c r="I67" i="7"/>
  <c r="H41" i="1"/>
  <c r="K44" i="1"/>
  <c r="H45" i="1"/>
  <c r="M45" i="1"/>
  <c r="L45" i="1"/>
  <c r="K45" i="1"/>
  <c r="K28" i="1" s="1"/>
  <c r="M28" i="1" s="1"/>
  <c r="J45" i="1"/>
  <c r="J28" i="1"/>
  <c r="P30" i="1"/>
  <c r="F193" i="1"/>
  <c r="F190" i="1"/>
  <c r="F171" i="1"/>
  <c r="D186" i="1"/>
  <c r="F161" i="1"/>
  <c r="F163" i="1"/>
  <c r="D166" i="1"/>
  <c r="D192" i="1"/>
  <c r="D194" i="1"/>
  <c r="D196" i="1"/>
  <c r="D173" i="1"/>
  <c r="D168" i="1"/>
  <c r="D197" i="1"/>
  <c r="D159" i="1"/>
  <c r="D185" i="1"/>
  <c r="F194" i="1"/>
  <c r="D165" i="1"/>
  <c r="D191" i="1"/>
  <c r="F183" i="1"/>
  <c r="F162" i="1"/>
  <c r="F170" i="1"/>
  <c r="F184" i="1"/>
  <c r="F168" i="1"/>
  <c r="F169" i="1"/>
  <c r="D164" i="1"/>
  <c r="F21" i="1"/>
  <c r="D177" i="1"/>
  <c r="F197" i="1"/>
  <c r="D160" i="1"/>
  <c r="F196" i="1"/>
  <c r="D162" i="1"/>
  <c r="D170" i="1"/>
  <c r="D181" i="1"/>
  <c r="F164" i="1"/>
  <c r="F165" i="1"/>
  <c r="D190" i="1"/>
  <c r="F182" i="1"/>
  <c r="F166" i="1"/>
  <c r="H44" i="7"/>
  <c r="D171" i="1"/>
  <c r="D169" i="1"/>
  <c r="F172" i="1"/>
  <c r="D179" i="1"/>
  <c r="D189" i="1"/>
  <c r="D183" i="1"/>
  <c r="F160" i="1"/>
  <c r="F195" i="1"/>
  <c r="D193" i="1"/>
  <c r="F179" i="1"/>
  <c r="D188" i="1"/>
  <c r="F185" i="1"/>
  <c r="F159" i="1"/>
  <c r="F173" i="1"/>
  <c r="D163" i="1"/>
  <c r="D184" i="1"/>
  <c r="D195" i="1"/>
  <c r="F191" i="1"/>
  <c r="H11" i="7"/>
  <c r="F181" i="1"/>
  <c r="D180" i="1"/>
  <c r="F186" i="1"/>
  <c r="F180" i="1"/>
  <c r="F187" i="1"/>
  <c r="F178" i="1"/>
  <c r="D178" i="1"/>
  <c r="D182" i="1"/>
  <c r="F192" i="1"/>
  <c r="D174" i="1"/>
  <c r="F189" i="1"/>
  <c r="F167" i="1"/>
  <c r="D187" i="1"/>
  <c r="F188" i="1"/>
  <c r="D172" i="1"/>
  <c r="F174" i="1"/>
  <c r="F177" i="1"/>
  <c r="D167" i="1"/>
  <c r="B171" i="1"/>
  <c r="B181" i="1"/>
  <c r="B170" i="1"/>
  <c r="B186" i="1"/>
  <c r="B164" i="1"/>
  <c r="B175" i="1"/>
  <c r="B166" i="1"/>
  <c r="B174" i="1"/>
  <c r="B172" i="1"/>
  <c r="B184" i="1"/>
  <c r="H113" i="7"/>
  <c r="B180" i="1"/>
  <c r="B199" i="1"/>
  <c r="B188" i="1"/>
  <c r="B165" i="1"/>
  <c r="B185" i="1"/>
  <c r="B168" i="1"/>
  <c r="H114" i="7"/>
  <c r="B198" i="1"/>
  <c r="B197" i="1"/>
  <c r="B179" i="1"/>
  <c r="B191" i="1"/>
  <c r="C156" i="1"/>
  <c r="B192" i="1"/>
  <c r="E128" i="7"/>
  <c r="F128" i="7" s="1"/>
  <c r="B194" i="1"/>
  <c r="B173" i="1"/>
  <c r="B182" i="1"/>
  <c r="B190" i="1"/>
  <c r="B193" i="1"/>
  <c r="B176" i="1"/>
  <c r="B183" i="1"/>
  <c r="B195" i="1"/>
  <c r="F132" i="1"/>
  <c r="C134" i="1" s="1"/>
  <c r="B189" i="1"/>
  <c r="B162" i="1"/>
  <c r="B169" i="1"/>
  <c r="B196" i="1"/>
  <c r="H31" i="7"/>
  <c r="B161" i="1"/>
  <c r="B167" i="1"/>
  <c r="H54" i="7"/>
  <c r="B187" i="1"/>
  <c r="B158" i="1"/>
  <c r="H57" i="7"/>
  <c r="F150" i="1"/>
  <c r="B151" i="1" s="1"/>
  <c r="H115" i="7" l="1"/>
  <c r="S25" i="6"/>
  <c r="D31" i="7"/>
  <c r="D156" i="1"/>
  <c r="H19" i="7"/>
  <c r="C118" i="1"/>
  <c r="P29" i="1"/>
  <c r="B120" i="1"/>
  <c r="H56" i="7"/>
  <c r="E129" i="7"/>
  <c r="F129" i="7" s="1"/>
  <c r="B153" i="1"/>
  <c r="C132" i="1"/>
  <c r="C151" i="1"/>
  <c r="C149" i="1"/>
  <c r="B134" i="1"/>
  <c r="B1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B12"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B18"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3"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B27"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3"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4"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0"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1"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4"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5"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8"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t>
        </r>
        <r>
          <rPr>
            <i/>
            <sz val="8"/>
            <color indexed="8"/>
            <rFont val="Tahoma"/>
            <family val="2"/>
          </rPr>
          <t>Average values :</t>
        </r>
        <r>
          <rPr>
            <sz val="8"/>
            <color indexed="8"/>
            <rFont val="Tahoma"/>
            <family val="2"/>
          </rPr>
          <t xml:space="preserve">
MicroFusée                  : 1m  :    </t>
        </r>
        <r>
          <rPr>
            <i/>
            <sz val="8"/>
            <color indexed="8"/>
            <rFont val="Tahoma"/>
            <family val="2"/>
          </rPr>
          <t>Micro-rocket</t>
        </r>
        <r>
          <rPr>
            <sz val="8"/>
            <color indexed="8"/>
            <rFont val="Tahoma"/>
            <family val="2"/>
          </rPr>
          <t xml:space="preserve">
MiniFusée                    : 2m5:   </t>
        </r>
        <r>
          <rPr>
            <i/>
            <sz val="8"/>
            <color indexed="8"/>
            <rFont val="Tahoma"/>
            <family val="2"/>
          </rPr>
          <t xml:space="preserve"> Mini-rocket
Rocketry Challenge    </t>
        </r>
        <r>
          <rPr>
            <sz val="8"/>
            <color indexed="8"/>
            <rFont val="Tahoma"/>
            <family val="2"/>
          </rPr>
          <t xml:space="preserve">: 3m
Fusée Expérimentale  : 4m  :   </t>
        </r>
        <r>
          <rPr>
            <i/>
            <sz val="8"/>
            <color indexed="8"/>
            <rFont val="Tahoma"/>
            <family val="2"/>
          </rPr>
          <t>Experimental Rocket</t>
        </r>
      </text>
    </comment>
    <comment ref="B19"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0"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3"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3"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4"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7"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B28"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M28"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3"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0"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0"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0"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0"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1"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2"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6"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3"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<sst xmlns="http://schemas.openxmlformats.org/spreadsheetml/2006/main" count="1716" uniqueCount="560">
  <si>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</si>
  <si>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</si>
  <si>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</si>
  <si>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</si>
  <si>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</si>
  <si>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</si>
  <si>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</si>
  <si>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</si>
  <si>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</si>
  <si>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</si>
  <si>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</si>
  <si>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</si>
  <si>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</si>
  <si>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</si>
  <si>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</si>
  <si>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</si>
  <si>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</si>
  <si>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</si>
  <si>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</si>
  <si>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</si>
  <si>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</si>
  <si>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</si>
  <si>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</si>
  <si>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</si>
  <si>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</si>
  <si>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</si>
  <si>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</si>
  <si>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</si>
  <si>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</si>
  <si>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</si>
  <si>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</si>
  <si>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</si>
  <si>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</si>
  <si>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</si>
  <si>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</si>
  <si>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</si>
  <si>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</si>
  <si>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Pro75-2G</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</si>
  <si>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</si>
  <si>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</si>
  <si>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</si>
  <si>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</si>
  <si>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</si>
  <si>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</si>
  <si>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</si>
  <si>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</si>
  <si>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</si>
  <si>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</si>
  <si>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</si>
  <si>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</si>
  <si>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</si>
  <si>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</si>
  <si>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</si>
  <si>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</si>
  <si>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</si>
  <si>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</si>
  <si>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</si>
  <si>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</si>
  <si>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</si>
  <si>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</si>
  <si>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</si>
  <si>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</si>
  <si>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</si>
  <si>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</si>
  <si>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</si>
  <si>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</si>
  <si>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</si>
  <si>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</si>
  <si>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</si>
  <si>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</si>
  <si>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</si>
  <si>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</si>
  <si>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</si>
  <si>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</si>
  <si>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</si>
  <si>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</si>
  <si>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</si>
  <si>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</si>
  <si>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</si>
  <si>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</si>
  <si>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</si>
  <si>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</si>
  <si>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</si>
  <si>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</si>
  <si>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</si>
  <si>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</si>
  <si>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</si>
  <si>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</si>
  <si>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</si>
  <si>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</si>
  <si>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</si>
  <si>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</si>
  <si>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</si>
  <si>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</si>
  <si>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</si>
  <si>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</si>
  <si>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</si>
  <si>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</si>
  <si>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</si>
  <si>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</si>
  <si>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</si>
  <si>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</si>
  <si>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</si>
  <si>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</si>
  <si>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</si>
  <si>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</si>
  <si>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</si>
  <si>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</si>
  <si>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</si>
  <si>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</si>
  <si>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</si>
  <si>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</si>
  <si>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</si>
  <si>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</si>
  <si>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</si>
  <si>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</si>
  <si>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</si>
  <si>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</si>
  <si>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</si>
  <si>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</si>
  <si>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</si>
  <si>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</si>
  <si>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</si>
  <si>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</si>
  <si>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</si>
  <si>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</si>
  <si>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</si>
  <si>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</si>
  <si>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</si>
  <si>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</si>
  <si>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</si>
  <si>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</si>
  <si>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</si>
  <si>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</si>
  <si>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</si>
  <si>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</si>
  <si>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</si>
  <si>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</si>
  <si>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</si>
  <si>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</si>
  <si>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</si>
  <si>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</si>
  <si>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</si>
  <si>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</si>
  <si>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</si>
  <si>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</si>
  <si>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</si>
  <si>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</si>
  <si>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</si>
  <si>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</si>
  <si>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</si>
  <si>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</si>
  <si>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</si>
  <si>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</si>
  <si>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</si>
  <si>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</si>
  <si>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</si>
  <si>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</si>
  <si>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</si>
  <si>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</si>
  <si>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</si>
  <si>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</si>
  <si>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</si>
  <si>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</si>
  <si>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</si>
  <si>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</si>
  <si>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</si>
  <si>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</si>
  <si>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</si>
  <si>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</si>
  <si>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</si>
  <si>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</si>
  <si>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</si>
  <si>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</si>
  <si>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</si>
  <si>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</si>
  <si>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</si>
  <si>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</si>
  <si>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</si>
  <si>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</si>
  <si>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</si>
  <si>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</si>
  <si>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</si>
  <si>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</si>
  <si>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</si>
  <si>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</si>
  <si>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</si>
  <si>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</si>
  <si>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</si>
  <si>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</si>
  <si>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</si>
  <si>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</si>
  <si>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</si>
  <si>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</si>
  <si>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</si>
  <si>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</si>
  <si>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</si>
  <si>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</si>
  <si>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</si>
  <si>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</si>
  <si>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</si>
  <si>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</si>
  <si>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</si>
  <si>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</si>
  <si>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</si>
  <si>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</si>
  <si>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</si>
  <si>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</si>
  <si>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</si>
  <si>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</si>
  <si>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</si>
  <si>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</si>
  <si>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</si>
  <si>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</si>
  <si>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</si>
  <si>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</si>
  <si>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</si>
  <si>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</si>
  <si>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</si>
  <si>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</si>
  <si>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</si>
  <si>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</si>
  <si>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</si>
  <si>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</si>
  <si>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</si>
  <si>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</si>
  <si>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</si>
  <si>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</si>
  <si>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</si>
  <si>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</si>
  <si>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</si>
  <si>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</si>
  <si>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</si>
  <si>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</si>
  <si>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</si>
  <si>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</si>
  <si>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</si>
  <si>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</si>
  <si>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</si>
  <si>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</si>
  <si>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</si>
  <si>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</si>
  <si>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</si>
  <si>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</si>
  <si>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</si>
  <si>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</si>
  <si>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</si>
  <si>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</si>
  <si>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</si>
  <si>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</si>
  <si>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</si>
  <si>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</si>
  <si>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</si>
  <si>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</si>
  <si>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</si>
  <si>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</si>
  <si>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</si>
  <si>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</si>
  <si>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</si>
  <si>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</si>
  <si>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</si>
  <si>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</si>
  <si>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</si>
  <si>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</si>
  <si>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</si>
  <si>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</si>
  <si>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</si>
  <si>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</si>
  <si>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</si>
  <si>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</si>
  <si>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</si>
  <si>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</si>
  <si>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</si>
  <si>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</si>
  <si>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</si>
  <si>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</si>
  <si>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</si>
  <si>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</si>
  <si>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</si>
  <si>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</si>
  <si>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</si>
  <si>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</si>
  <si>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</si>
  <si>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</si>
  <si>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</si>
  <si>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</si>
  <si>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</si>
  <si>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</si>
  <si>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</si>
  <si>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</si>
  <si>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</si>
  <si>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</si>
  <si>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</si>
  <si>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</si>
  <si>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</si>
  <si>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</si>
  <si>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</si>
  <si>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</si>
  <si>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</si>
  <si>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</si>
  <si>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</si>
  <si>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</si>
  <si>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</si>
  <si>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</si>
  <si>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</si>
  <si>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</si>
  <si>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</si>
  <si>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</si>
  <si>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</si>
  <si>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</si>
  <si>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</si>
  <si>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</si>
  <si>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</si>
  <si>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</si>
  <si>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</si>
  <si>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</si>
  <si>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</si>
  <si>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</si>
  <si>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</si>
  <si>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Pro98-2G WT</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</si>
  <si>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</si>
  <si>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</si>
  <si>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</si>
  <si>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</si>
  <si>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</si>
  <si>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</si>
  <si>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</si>
  <si>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</si>
  <si>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</si>
  <si>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</si>
  <si>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</si>
  <si>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</si>
  <si>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</si>
  <si>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</si>
  <si>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</si>
  <si>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</si>
  <si>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</si>
  <si>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</si>
  <si>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</si>
  <si>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</si>
  <si>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</si>
  <si>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</si>
  <si>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</si>
  <si>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</si>
  <si>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</si>
  <si>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</si>
  <si>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</si>
  <si>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</si>
  <si>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</si>
  <si>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</si>
  <si>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</si>
  <si>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</si>
  <si>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</si>
  <si>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</si>
  <si>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</si>
  <si>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</si>
  <si>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</si>
  <si>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</si>
  <si>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</si>
  <si>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</si>
  <si>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</si>
  <si>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</si>
  <si>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</si>
  <si>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</si>
  <si>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</si>
  <si>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</si>
  <si>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</si>
  <si>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</si>
  <si>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</si>
  <si>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</si>
  <si>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</si>
  <si>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</si>
  <si>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</si>
  <si>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</si>
  <si>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</si>
  <si>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</si>
  <si>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</si>
  <si>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</si>
  <si>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</si>
  <si>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</si>
  <si>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</si>
  <si>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</si>
  <si>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</si>
  <si>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</si>
  <si>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</si>
  <si>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</si>
  <si>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</si>
  <si>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</si>
  <si>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</si>
  <si>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</si>
  <si>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</si>
  <si>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</si>
  <si>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</si>
  <si>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</si>
  <si>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</si>
  <si>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</si>
  <si>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</si>
  <si>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</si>
  <si>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</si>
  <si>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</si>
  <si>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</si>
  <si>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</si>
  <si>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</si>
  <si>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</si>
  <si>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</si>
  <si>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</si>
  <si>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</si>
  <si>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</si>
  <si>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</si>
  <si>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</si>
  <si>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</si>
  <si>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</si>
  <si>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</si>
  <si>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</si>
  <si>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</si>
  <si>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</si>
  <si>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</si>
  <si>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</si>
  <si>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</si>
  <si>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</si>
  <si>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</si>
  <si>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</si>
  <si>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</si>
  <si>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</si>
  <si>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</si>
  <si>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</si>
  <si>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</si>
  <si>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</si>
  <si>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</si>
  <si>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</si>
  <si>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</si>
  <si>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</si>
  <si>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</si>
  <si>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</si>
  <si>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</si>
  <si>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</si>
  <si>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</si>
  <si>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</si>
  <si>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</si>
  <si>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</si>
  <si>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</si>
  <si>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</si>
  <si>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</si>
  <si>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</si>
  <si>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</si>
  <si>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</si>
  <si>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</si>
  <si>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</si>
  <si>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</si>
  <si>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</si>
  <si>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</si>
  <si>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</si>
  <si>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</si>
  <si>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</si>
  <si>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</si>
  <si>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</si>
  <si>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</si>
  <si>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</si>
  <si>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</si>
  <si>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</si>
  <si>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</si>
  <si>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</si>
  <si>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</si>
  <si>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</si>
  <si>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</si>
  <si>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</si>
  <si>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</si>
  <si>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</si>
  <si>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</si>
  <si>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</si>
  <si>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</si>
  <si>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</si>
  <si>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</si>
  <si>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</si>
  <si>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</si>
  <si>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</si>
  <si>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</si>
  <si>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</si>
  <si>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</si>
  <si>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</si>
  <si>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</si>
  <si>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</si>
  <si>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</si>
  <si>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</si>
  <si>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</si>
  <si>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</si>
  <si>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</si>
  <si>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</si>
  <si>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</si>
  <si>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</si>
  <si>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</si>
  <si>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</si>
  <si>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</si>
  <si>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</si>
  <si>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</si>
  <si>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</si>
  <si>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</si>
  <si>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</si>
  <si>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</si>
  <si>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</si>
  <si>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</si>
  <si>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</si>
  <si>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</si>
  <si>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</si>
  <si>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</si>
  <si>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</si>
  <si>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</si>
  <si>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</si>
  <si>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</si>
  <si>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</si>
  <si>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</si>
  <si>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</si>
  <si>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</si>
  <si>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</si>
  <si>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</si>
  <si>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</si>
  <si>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</si>
  <si>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</si>
  <si>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</si>
  <si>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</si>
  <si>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</si>
  <si>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</si>
  <si>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</si>
  <si>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</si>
  <si>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</si>
  <si>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</si>
  <si>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</si>
  <si>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</si>
  <si>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</si>
  <si>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</si>
  <si>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</si>
  <si>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</si>
  <si>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</si>
  <si>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</si>
  <si>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</si>
  <si>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</si>
  <si>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</si>
  <si>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</si>
  <si>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</si>
  <si>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</si>
  <si>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</si>
  <si>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</si>
  <si>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</si>
  <si>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</si>
  <si>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</si>
  <si>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</si>
  <si>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v3.4.2</t>
  </si>
  <si>
    <t>p29-1G 56F31</t>
  </si>
  <si>
    <t xml:space="preserve"> 143G150 BS</t>
  </si>
  <si>
    <t>StabTraj V3.4.2</t>
  </si>
  <si>
    <t>Ogivale (pointue)</t>
  </si>
  <si>
    <t>Ajout propu</t>
  </si>
  <si>
    <t>Fusée mono-diamètre,</t>
  </si>
  <si>
    <t>Pandora (Pro24-6G BS)</t>
  </si>
  <si>
    <t>Barasinga (Pro54-5G C)</t>
  </si>
  <si>
    <t>Orignal (Pro75-3G C)</t>
  </si>
  <si>
    <t>Blastocerus (Pro98-6GXL RL)</t>
  </si>
  <si>
    <t>Indra</t>
  </si>
  <si>
    <t>Space'Tech Orléans</t>
  </si>
  <si>
    <t>Fusée expérimentale.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</si>
</sst>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1"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s>
  <fills count="34">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s>
  <borders count="103">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s>
  <cellStyleXfs count="3">
    <xf numFmtId="0" fontId="0" fillId="0" borderId="0"/>
    <xf numFmtId="0" fontId="10" fillId="0" borderId="0" applyNumberFormat="0" applyFill="0" applyBorder="0" applyAlignment="0" applyProtection="0"/>
    <xf numFmtId="0" fontId="1" fillId="0" borderId="0"/>
  </cellStyleXfs>
  <cellXfs count="795">
    <xf numFmtId="0" fontId="0" fillId="0" borderId="0" xfId="0"/>
    <xf numFmtId="0" fontId="0" fillId="0" borderId="0" xfId="0" applyAlignment="1">
      <alignment vertical="center"/>
    </xf>
    <xf numFmtId="0" fontId="2" fillId="0" borderId="0" xfId="0" applyFont="1" applyBorder="1"/>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0" fillId="0" borderId="0" xfId="0" applyFont="1" applyBorder="1" applyAlignment="1">
      <alignment vertical="center"/>
    </xf>
    <xf numFmtId="0" fontId="0" fillId="0" borderId="0" xfId="0" applyFont="1" applyFill="1" applyBorder="1" applyAlignment="1">
      <alignment horizontal="center" vertical="center"/>
    </xf>
    <xf numFmtId="0" fontId="2" fillId="0" borderId="0" xfId="0" applyFont="1" applyBorder="1" applyAlignment="1">
      <alignment horizontal="center"/>
    </xf>
    <xf numFmtId="0" fontId="0" fillId="0" borderId="0" xfId="0" applyFont="1" applyFill="1" applyBorder="1" applyAlignment="1">
      <alignment vertical="center"/>
    </xf>
    <xf numFmtId="0" fontId="2" fillId="0" borderId="0" xfId="0" applyFont="1" applyBorder="1" applyAlignment="1">
      <alignment vertical="center"/>
    </xf>
    <xf numFmtId="2" fontId="0" fillId="0" borderId="0" xfId="0" applyNumberFormat="1" applyFill="1" applyAlignment="1">
      <alignment horizontal="center"/>
    </xf>
    <xf numFmtId="2" fontId="7" fillId="0" borderId="0" xfId="0" applyNumberFormat="1" applyFont="1" applyAlignment="1">
      <alignment horizontal="center"/>
    </xf>
    <xf numFmtId="2" fontId="0" fillId="0" borderId="0" xfId="0" applyNumberFormat="1" applyAlignment="1">
      <alignment horizontal="center"/>
    </xf>
    <xf numFmtId="2" fontId="0" fillId="2" borderId="0" xfId="0" applyNumberFormat="1" applyFill="1" applyAlignment="1">
      <alignment horizontal="center"/>
    </xf>
    <xf numFmtId="0" fontId="7" fillId="0" borderId="0" xfId="0" applyFont="1" applyFill="1" applyAlignment="1">
      <alignment horizontal="center"/>
    </xf>
    <xf numFmtId="0" fontId="7" fillId="0" borderId="1" xfId="0" applyFont="1" applyFill="1" applyBorder="1" applyAlignment="1">
      <alignment horizontal="center"/>
    </xf>
    <xf numFmtId="0" fontId="0" fillId="0" borderId="0" xfId="0" applyAlignment="1">
      <alignment horizontal="center"/>
    </xf>
    <xf numFmtId="0" fontId="6" fillId="0" borderId="0" xfId="0" applyFont="1" applyBorder="1"/>
    <xf numFmtId="0" fontId="2" fillId="0" borderId="0" xfId="0" applyFont="1"/>
    <xf numFmtId="0" fontId="9" fillId="0" borderId="0" xfId="0" applyFont="1"/>
    <xf numFmtId="0" fontId="10" fillId="0" borderId="0" xfId="1" applyNumberFormat="1" applyFont="1" applyFill="1" applyBorder="1" applyAlignment="1" applyProtection="1"/>
    <xf numFmtId="14" fontId="0" fillId="0" borderId="0" xfId="0" applyNumberFormat="1" applyAlignment="1">
      <alignment horizontal="left"/>
    </xf>
    <xf numFmtId="0" fontId="0" fillId="0" borderId="0" xfId="0" applyFont="1" applyFill="1" applyBorder="1"/>
    <xf numFmtId="0" fontId="0" fillId="0" borderId="0" xfId="0" applyFill="1" applyBorder="1"/>
    <xf numFmtId="0" fontId="10" fillId="0" borderId="0" xfId="1" applyNumberFormat="1" applyFill="1" applyBorder="1" applyAlignment="1" applyProtection="1"/>
    <xf numFmtId="171" fontId="2" fillId="3" borderId="2" xfId="0" applyNumberFormat="1" applyFont="1" applyFill="1" applyBorder="1" applyAlignment="1" applyProtection="1">
      <alignment horizontal="center" vertical="center"/>
      <protection locked="0"/>
    </xf>
    <xf numFmtId="0" fontId="0" fillId="0" borderId="0" xfId="0" applyFont="1" applyBorder="1" applyAlignment="1">
      <alignment horizontal="center" vertical="center"/>
    </xf>
    <xf numFmtId="0" fontId="16" fillId="0" borderId="0" xfId="0" applyFont="1" applyBorder="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applyBorder="1"/>
    <xf numFmtId="0" fontId="2" fillId="0" borderId="0" xfId="2" applyFont="1"/>
    <xf numFmtId="0" fontId="2" fillId="0" borderId="6" xfId="2" applyFont="1" applyBorder="1"/>
    <xf numFmtId="0" fontId="15" fillId="0" borderId="0" xfId="2" applyFont="1" applyBorder="1" applyProtection="1">
      <protection hidden="1"/>
    </xf>
    <xf numFmtId="0" fontId="1" fillId="0" borderId="7" xfId="2" applyBorder="1"/>
    <xf numFmtId="0" fontId="4" fillId="0" borderId="0" xfId="2" applyFont="1" applyBorder="1"/>
    <xf numFmtId="0" fontId="2" fillId="0" borderId="7" xfId="2" applyFont="1" applyBorder="1"/>
    <xf numFmtId="0" fontId="2" fillId="0" borderId="0" xfId="2" applyFont="1" applyBorder="1" applyAlignment="1" applyProtection="1">
      <alignment horizontal="center"/>
      <protection hidden="1"/>
    </xf>
    <xf numFmtId="0" fontId="2" fillId="0" borderId="0" xfId="2" applyFont="1" applyBorder="1" applyAlignment="1">
      <alignment horizontal="center"/>
    </xf>
    <xf numFmtId="0" fontId="16" fillId="0" borderId="0" xfId="2" applyFont="1" applyBorder="1"/>
    <xf numFmtId="0" fontId="2" fillId="0" borderId="0" xfId="2" applyFont="1" applyBorder="1" applyAlignment="1" applyProtection="1">
      <protection hidden="1"/>
    </xf>
    <xf numFmtId="0" fontId="2" fillId="0" borderId="0" xfId="2" applyFont="1" applyBorder="1" applyProtection="1">
      <protection hidden="1"/>
    </xf>
    <xf numFmtId="0" fontId="2" fillId="0" borderId="0" xfId="2" applyFont="1" applyFill="1" applyBorder="1" applyAlignment="1">
      <alignment horizontal="center"/>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Border="1" applyProtection="1">
      <protection hidden="1"/>
    </xf>
    <xf numFmtId="0" fontId="2" fillId="0" borderId="0" xfId="2" applyFont="1" applyFill="1" applyBorder="1" applyAlignment="1" applyProtection="1">
      <alignment horizontal="center"/>
      <protection hidden="1"/>
    </xf>
    <xf numFmtId="0" fontId="2" fillId="0" borderId="0" xfId="2" applyFont="1" applyAlignment="1">
      <alignment horizontal="center"/>
    </xf>
    <xf numFmtId="0" fontId="2" fillId="0" borderId="0" xfId="2" applyFont="1" applyBorder="1" applyAlignment="1"/>
    <xf numFmtId="0" fontId="15" fillId="0" borderId="0" xfId="2" applyFont="1" applyBorder="1"/>
    <xf numFmtId="14" fontId="15" fillId="0" borderId="0" xfId="2" applyNumberFormat="1" applyFont="1" applyBorder="1" applyAlignment="1" applyProtection="1">
      <alignment horizontal="center"/>
      <protection hidden="1"/>
    </xf>
    <xf numFmtId="0" fontId="15" fillId="0" borderId="0" xfId="2" applyFont="1" applyProtection="1">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Alignment="1" applyProtection="1">
      <protection locked="0"/>
    </xf>
    <xf numFmtId="0" fontId="2" fillId="0" borderId="10" xfId="2" applyFont="1" applyBorder="1" applyProtection="1">
      <protection locked="0"/>
    </xf>
    <xf numFmtId="0" fontId="2" fillId="0" borderId="0" xfId="2" applyFont="1" applyBorder="1" applyProtection="1">
      <protection locked="0"/>
    </xf>
    <xf numFmtId="0" fontId="2" fillId="0" borderId="0" xfId="2" applyFont="1" applyBorder="1" applyAlignment="1" applyProtection="1">
      <alignment horizontal="center"/>
      <protection locked="0"/>
    </xf>
    <xf numFmtId="0" fontId="15" fillId="0" borderId="0" xfId="2" applyFont="1" applyBorder="1" applyAlignment="1" applyProtection="1">
      <protection hidden="1"/>
    </xf>
    <xf numFmtId="0" fontId="15" fillId="0" borderId="0" xfId="2" applyFont="1"/>
    <xf numFmtId="0" fontId="15" fillId="0" borderId="0" xfId="2" applyFont="1" applyBorder="1" applyAlignment="1"/>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applyFill="1" applyBorder="1"/>
    <xf numFmtId="0" fontId="26" fillId="0" borderId="0" xfId="0" applyFont="1"/>
    <xf numFmtId="14" fontId="0" fillId="0" borderId="0" xfId="0" applyNumberFormat="1" applyFont="1" applyBorder="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Fill="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0" xfId="0" applyBorder="1"/>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Font="1" applyFill="1" applyBorder="1" applyAlignment="1" applyProtection="1">
      <alignment vertical="center"/>
      <protection hidden="1"/>
    </xf>
    <xf numFmtId="169" fontId="0" fillId="0" borderId="0" xfId="0" applyNumberFormat="1" applyFont="1" applyFill="1" applyBorder="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NumberFormat="1"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Border="1" applyAlignment="1">
      <alignment horizontal="center"/>
    </xf>
    <xf numFmtId="0" fontId="0" fillId="0" borderId="9" xfId="0" applyBorder="1"/>
    <xf numFmtId="0" fontId="0" fillId="0" borderId="10" xfId="0" applyFont="1" applyFill="1" applyBorder="1"/>
    <xf numFmtId="0" fontId="0" fillId="0" borderId="13" xfId="0" applyBorder="1"/>
    <xf numFmtId="0" fontId="0" fillId="0" borderId="10" xfId="0" applyBorder="1"/>
    <xf numFmtId="1" fontId="0" fillId="0" borderId="0" xfId="0" applyNumberFormat="1" applyFont="1" applyFill="1" applyBorder="1" applyAlignment="1">
      <alignment horizontal="center"/>
    </xf>
    <xf numFmtId="165" fontId="0" fillId="0" borderId="0" xfId="0" applyNumberFormat="1" applyFont="1" applyFill="1" applyBorder="1" applyAlignment="1">
      <alignment horizontal="center" vertical="center"/>
    </xf>
    <xf numFmtId="1" fontId="0" fillId="0" borderId="0" xfId="0" applyNumberFormat="1" applyFont="1" applyFill="1" applyBorder="1" applyAlignment="1">
      <alignment horizontal="center" vertical="center"/>
    </xf>
    <xf numFmtId="165" fontId="0" fillId="0" borderId="0" xfId="0" applyNumberFormat="1" applyFont="1" applyFill="1" applyBorder="1" applyAlignment="1">
      <alignment horizontal="center"/>
    </xf>
    <xf numFmtId="182" fontId="2" fillId="0" borderId="12" xfId="0" applyNumberFormat="1" applyFont="1" applyFill="1" applyBorder="1" applyAlignment="1">
      <alignment horizontal="center"/>
    </xf>
    <xf numFmtId="1" fontId="2" fillId="0" borderId="12" xfId="0" applyNumberFormat="1" applyFont="1" applyFill="1" applyBorder="1" applyAlignment="1">
      <alignment horizontal="center"/>
    </xf>
    <xf numFmtId="165" fontId="2" fillId="0" borderId="12" xfId="0" applyNumberFormat="1" applyFont="1" applyFill="1" applyBorder="1" applyAlignment="1">
      <alignment horizontal="center" vertical="center"/>
    </xf>
    <xf numFmtId="165" fontId="2" fillId="0" borderId="12" xfId="0" applyNumberFormat="1" applyFont="1" applyFill="1" applyBorder="1" applyAlignment="1">
      <alignment horizontal="center"/>
    </xf>
    <xf numFmtId="0" fontId="0" fillId="0" borderId="0" xfId="2" applyFont="1" applyBorder="1" applyAlignment="1" applyProtection="1">
      <alignment horizontal="center"/>
      <protection hidden="1"/>
    </xf>
    <xf numFmtId="0" fontId="0" fillId="0" borderId="0" xfId="0" applyNumberFormat="1" applyAlignment="1">
      <alignment horizontal="center"/>
    </xf>
    <xf numFmtId="0" fontId="8" fillId="0" borderId="4" xfId="2" applyFont="1" applyBorder="1"/>
    <xf numFmtId="0" fontId="8" fillId="0" borderId="0" xfId="2" applyFont="1" applyBorder="1"/>
    <xf numFmtId="0" fontId="8" fillId="0" borderId="0" xfId="2" applyFont="1" applyBorder="1" applyAlignment="1" applyProtection="1">
      <protection hidden="1"/>
    </xf>
    <xf numFmtId="0" fontId="8" fillId="0" borderId="0" xfId="2" applyFont="1" applyBorder="1" applyProtection="1">
      <protection hidden="1"/>
    </xf>
    <xf numFmtId="0" fontId="8" fillId="0" borderId="0" xfId="2" applyFont="1" applyBorder="1" applyAlignment="1"/>
    <xf numFmtId="0" fontId="8" fillId="0" borderId="10" xfId="2" applyFont="1" applyBorder="1" applyAlignment="1" applyProtection="1">
      <protection locked="0"/>
    </xf>
    <xf numFmtId="0" fontId="8" fillId="0" borderId="0" xfId="2" applyFont="1"/>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8" fillId="0" borderId="0" xfId="2" applyFont="1" applyProtection="1">
      <protection hidden="1"/>
    </xf>
    <xf numFmtId="0" fontId="31" fillId="0" borderId="0" xfId="2" applyFont="1" applyBorder="1"/>
    <xf numFmtId="0" fontId="0" fillId="0" borderId="0" xfId="0" applyBorder="1"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applyBorder="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Border="1" applyProtection="1">
      <protection hidden="1"/>
    </xf>
    <xf numFmtId="2" fontId="0" fillId="7" borderId="15" xfId="0" applyNumberFormat="1" applyFill="1" applyBorder="1" applyAlignment="1">
      <alignment horizontal="center" vertical="center"/>
    </xf>
    <xf numFmtId="165" fontId="0" fillId="7" borderId="15" xfId="0" applyNumberFormat="1" applyFon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0" fillId="7" borderId="15" xfId="0" applyNumberFormat="1" applyFon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ont="1" applyFill="1" applyBorder="1" applyAlignment="1">
      <alignment horizontal="center" vertical="center"/>
    </xf>
    <xf numFmtId="1" fontId="2" fillId="7" borderId="16"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ont="1" applyFill="1" applyBorder="1" applyAlignment="1">
      <alignment horizontal="center" vertical="center"/>
    </xf>
    <xf numFmtId="0" fontId="0" fillId="7" borderId="17" xfId="0" applyFont="1" applyFill="1" applyBorder="1" applyAlignment="1">
      <alignment horizontal="center" vertical="center"/>
    </xf>
    <xf numFmtId="1" fontId="0" fillId="7" borderId="17" xfId="0" applyNumberFormat="1"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ont="1"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pplyProtection="1">
      <alignment horizontal="center" vertical="center"/>
    </xf>
    <xf numFmtId="0" fontId="0" fillId="13" borderId="15" xfId="0" applyFont="1"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on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ont="1"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Fon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15" fillId="0" borderId="0" xfId="2" applyFont="1" applyBorder="1" applyAlignment="1" applyProtection="1">
      <alignment horizontal="center"/>
      <protection hidden="1"/>
    </xf>
    <xf numFmtId="0" fontId="0" fillId="0" borderId="10" xfId="0" applyFont="1"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15" fillId="0" borderId="0"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1" fontId="8" fillId="0" borderId="0" xfId="2" applyNumberFormat="1" applyFont="1" applyBorder="1" applyAlignment="1" applyProtection="1">
      <alignment horizontal="center"/>
      <protection hidden="1"/>
    </xf>
    <xf numFmtId="0" fontId="0" fillId="0" borderId="21" xfId="2" applyFont="1" applyBorder="1" applyAlignment="1" applyProtection="1">
      <alignment horizontal="center"/>
      <protection hidden="1"/>
    </xf>
    <xf numFmtId="165" fontId="0" fillId="0" borderId="19" xfId="0" applyNumberFormat="1" applyFont="1" applyBorder="1" applyAlignment="1">
      <alignment horizontal="center" vertical="center"/>
    </xf>
    <xf numFmtId="1" fontId="0" fillId="0" borderId="20" xfId="0" applyNumberFormat="1" applyFont="1" applyBorder="1" applyAlignment="1">
      <alignment horizontal="center" vertical="center"/>
    </xf>
    <xf numFmtId="165" fontId="0" fillId="0" borderId="21" xfId="0" applyNumberFormat="1" applyFont="1" applyBorder="1" applyAlignment="1">
      <alignment horizontal="center" vertical="center"/>
    </xf>
    <xf numFmtId="1" fontId="0" fillId="0" borderId="23" xfId="0" applyNumberFormat="1" applyFont="1" applyBorder="1" applyAlignment="1">
      <alignment horizontal="center" vertical="center"/>
    </xf>
    <xf numFmtId="0" fontId="0" fillId="0" borderId="31" xfId="0" applyFill="1" applyBorder="1" applyAlignment="1">
      <alignment horizontal="center" vertical="center"/>
    </xf>
    <xf numFmtId="0" fontId="0" fillId="0" borderId="32" xfId="0" applyFill="1" applyBorder="1" applyAlignment="1">
      <alignment horizontal="center" vertical="center"/>
    </xf>
    <xf numFmtId="1" fontId="0" fillId="0" borderId="19" xfId="0" applyNumberFormat="1" applyFont="1" applyBorder="1" applyAlignment="1">
      <alignment horizontal="center" vertical="center"/>
    </xf>
    <xf numFmtId="1" fontId="0" fillId="0" borderId="21" xfId="0" applyNumberFormat="1" applyFont="1" applyBorder="1" applyAlignment="1">
      <alignment horizontal="center" vertical="center"/>
    </xf>
    <xf numFmtId="0" fontId="0" fillId="0" borderId="23" xfId="0" applyFont="1"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applyBorder="1" applyAlignme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2" applyFont="1" applyAlignment="1" applyProtection="1">
      <alignment horizontal="center"/>
      <protection hidden="1"/>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Font="1" applyBorder="1" applyAlignment="1">
      <alignment horizontal="center" vertical="center"/>
    </xf>
    <xf numFmtId="1" fontId="0" fillId="0" borderId="23" xfId="0" applyNumberFormat="1" applyBorder="1" applyAlignment="1">
      <alignment horizontal="center" vertical="center"/>
    </xf>
    <xf numFmtId="0" fontId="0" fillId="0" borderId="19" xfId="0" applyBorder="1" applyAlignment="1">
      <alignment horizontal="center" vertical="center"/>
    </xf>
    <xf numFmtId="1" fontId="0" fillId="0" borderId="0" xfId="0" applyNumberFormat="1" applyBorder="1" applyAlignment="1">
      <alignment horizontal="center" vertical="center"/>
    </xf>
    <xf numFmtId="1" fontId="0" fillId="0" borderId="20" xfId="0" applyNumberFormat="1"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0" fontId="0" fillId="0" borderId="0" xfId="0" applyBorder="1" applyAlignment="1">
      <alignment horizontal="center"/>
    </xf>
    <xf numFmtId="0" fontId="0" fillId="0" borderId="0" xfId="0" applyBorder="1" applyAlignment="1">
      <alignment horizontal="right"/>
    </xf>
    <xf numFmtId="1" fontId="2" fillId="0" borderId="0" xfId="0" applyNumberFormat="1" applyFont="1" applyBorder="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Border="1" applyAlignment="1">
      <alignment horizontal="center" vertical="center"/>
    </xf>
    <xf numFmtId="165" fontId="2" fillId="0" borderId="0" xfId="0" applyNumberFormat="1" applyFont="1" applyBorder="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Font="1" applyBorder="1" applyAlignment="1">
      <alignment horizontal="left"/>
    </xf>
    <xf numFmtId="0" fontId="0" fillId="0" borderId="0" xfId="0" applyBorder="1" applyAlignment="1">
      <alignment horizontal="center" vertical="center"/>
    </xf>
    <xf numFmtId="165" fontId="2" fillId="0" borderId="0" xfId="0" applyNumberFormat="1" applyFont="1" applyFill="1" applyBorder="1" applyAlignment="1">
      <alignment horizontal="center" vertical="center"/>
    </xf>
    <xf numFmtId="0" fontId="2" fillId="4" borderId="0" xfId="0" applyFont="1" applyFill="1" applyBorder="1" applyAlignment="1" applyProtection="1">
      <alignment horizontal="center" vertical="center"/>
      <protection locked="0"/>
    </xf>
    <xf numFmtId="165" fontId="2" fillId="0" borderId="0" xfId="0" applyNumberFormat="1" applyFont="1" applyFill="1" applyBorder="1" applyAlignment="1">
      <alignment horizontal="center"/>
    </xf>
    <xf numFmtId="1" fontId="2" fillId="0" borderId="0" xfId="0" applyNumberFormat="1" applyFont="1" applyFill="1" applyBorder="1" applyAlignment="1">
      <alignment horizontal="center"/>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Fill="1" applyBorder="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0" xfId="0" applyFont="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0" fontId="2" fillId="0" borderId="0" xfId="0" applyFont="1" applyBorder="1" applyAlignment="1"/>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Border="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applyAlignment="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pplyProtection="1">
      <alignment horizontal="right" vertical="center"/>
    </xf>
    <xf numFmtId="0" fontId="30" fillId="0" borderId="13" xfId="2" applyFont="1" applyBorder="1" applyAlignment="1" applyProtection="1">
      <alignment horizontal="right"/>
    </xf>
    <xf numFmtId="2" fontId="7" fillId="0" borderId="0" xfId="0" applyNumberFormat="1" applyFont="1" applyFill="1" applyBorder="1" applyAlignment="1">
      <alignment horizontal="center"/>
    </xf>
    <xf numFmtId="2" fontId="7" fillId="0" borderId="0" xfId="0" applyNumberFormat="1" applyFont="1" applyBorder="1" applyAlignment="1">
      <alignment horizontal="center"/>
    </xf>
    <xf numFmtId="2" fontId="0" fillId="0" borderId="0" xfId="0" applyNumberFormat="1" applyBorder="1" applyAlignment="1">
      <alignment horizontal="center"/>
    </xf>
    <xf numFmtId="2" fontId="0" fillId="16" borderId="31" xfId="0" applyNumberFormat="1" applyFont="1" applyFill="1" applyBorder="1" applyAlignment="1">
      <alignment horizontal="center"/>
    </xf>
    <xf numFmtId="2" fontId="0" fillId="16" borderId="33" xfId="0" applyNumberFormat="1" applyFont="1" applyFill="1" applyBorder="1" applyAlignment="1">
      <alignment horizontal="center"/>
    </xf>
    <xf numFmtId="2" fontId="0" fillId="16" borderId="32" xfId="0" applyNumberFormat="1" applyFont="1" applyFill="1" applyBorder="1" applyAlignment="1">
      <alignment horizontal="center"/>
    </xf>
    <xf numFmtId="0" fontId="0" fillId="16" borderId="31" xfId="0" applyNumberFormat="1" applyFont="1" applyFill="1" applyBorder="1" applyAlignment="1">
      <alignment horizontal="center"/>
    </xf>
    <xf numFmtId="0" fontId="0" fillId="16" borderId="33" xfId="0" applyNumberFormat="1" applyFont="1" applyFill="1" applyBorder="1" applyAlignment="1">
      <alignment horizontal="center"/>
    </xf>
    <xf numFmtId="0" fontId="0" fillId="16" borderId="32" xfId="0" applyNumberFormat="1" applyFont="1" applyFill="1" applyBorder="1" applyAlignment="1">
      <alignment horizontal="center"/>
    </xf>
    <xf numFmtId="2" fontId="0" fillId="0" borderId="0" xfId="0" applyNumberFormat="1" applyAlignmen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Border="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NumberFormat="1" applyFill="1" applyBorder="1" applyAlignment="1"/>
    <xf numFmtId="0" fontId="0" fillId="21" borderId="0" xfId="0" applyNumberFormat="1" applyFill="1" applyBorder="1" applyAlignment="1"/>
    <xf numFmtId="0" fontId="0" fillId="21" borderId="20" xfId="0" applyNumberFormat="1" applyFill="1" applyBorder="1" applyAlignment="1">
      <alignment horizontal="center"/>
    </xf>
    <xf numFmtId="0" fontId="0" fillId="21" borderId="21" xfId="0" applyNumberFormat="1" applyFill="1" applyBorder="1" applyAlignment="1"/>
    <xf numFmtId="0" fontId="0" fillId="21" borderId="22" xfId="0" applyNumberFormat="1" applyFill="1" applyBorder="1" applyAlignment="1"/>
    <xf numFmtId="0" fontId="0" fillId="21" borderId="23" xfId="0" applyNumberFormat="1"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Border="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ont="1"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ont="1" applyFill="1" applyBorder="1" applyAlignment="1">
      <alignment horizontal="center"/>
    </xf>
    <xf numFmtId="0" fontId="0" fillId="22" borderId="41" xfId="0" applyFont="1" applyFill="1" applyBorder="1" applyAlignment="1">
      <alignment horizontal="center"/>
    </xf>
    <xf numFmtId="0" fontId="0" fillId="22" borderId="36" xfId="0" applyFont="1"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1" xfId="0" applyFill="1" applyBorder="1" applyAlignment="1">
      <alignment horizontal="center"/>
    </xf>
    <xf numFmtId="0" fontId="0" fillId="22" borderId="44" xfId="0" applyFont="1"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ont="1" applyFill="1" applyBorder="1" applyAlignment="1">
      <alignment horizontal="center"/>
    </xf>
    <xf numFmtId="2" fontId="0" fillId="23" borderId="21" xfId="0" applyNumberFormat="1" applyFon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NumberFormat="1"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ont="1" applyFill="1" applyBorder="1" applyAlignment="1">
      <alignment horizontal="center"/>
    </xf>
    <xf numFmtId="0" fontId="0" fillId="26" borderId="53" xfId="0" applyFont="1"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Border="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Border="1" applyAlignment="1">
      <alignment horizontal="center"/>
    </xf>
    <xf numFmtId="169" fontId="0" fillId="3" borderId="56" xfId="0" applyNumberFormat="1" applyFill="1" applyBorder="1" applyAlignment="1">
      <alignment horizontal="center"/>
    </xf>
    <xf numFmtId="0" fontId="0" fillId="3" borderId="0" xfId="0" applyNumberFormat="1" applyFill="1" applyBorder="1" applyAlignment="1">
      <alignment horizontal="center"/>
    </xf>
    <xf numFmtId="0" fontId="0" fillId="26" borderId="1" xfId="0" applyFont="1" applyFill="1" applyBorder="1" applyAlignment="1">
      <alignment horizontal="center"/>
    </xf>
    <xf numFmtId="0" fontId="0" fillId="26" borderId="51" xfId="0" applyFont="1" applyFill="1" applyBorder="1" applyAlignment="1">
      <alignment horizontal="center"/>
    </xf>
    <xf numFmtId="183" fontId="0" fillId="26" borderId="51" xfId="0" applyNumberFormat="1" applyFon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0" fontId="0" fillId="24" borderId="62" xfId="0" applyNumberFormat="1" applyFill="1" applyBorder="1" applyAlignment="1">
      <alignment horizontal="center"/>
    </xf>
    <xf numFmtId="183" fontId="0" fillId="25" borderId="60" xfId="0" applyNumberFormat="1" applyFill="1" applyBorder="1" applyAlignment="1">
      <alignment horizontal="center"/>
    </xf>
    <xf numFmtId="0" fontId="0" fillId="3" borderId="55" xfId="0" applyNumberFormat="1" applyFill="1" applyBorder="1" applyAlignment="1">
      <alignment horizontal="center"/>
    </xf>
    <xf numFmtId="0" fontId="0" fillId="3" borderId="56" xfId="0" applyNumberFormat="1" applyFill="1" applyBorder="1" applyAlignment="1">
      <alignment horizontal="center"/>
    </xf>
    <xf numFmtId="0" fontId="0" fillId="3" borderId="61" xfId="0" applyNumberFormat="1" applyFill="1" applyBorder="1" applyAlignment="1">
      <alignment horizontal="center"/>
    </xf>
    <xf numFmtId="0" fontId="0" fillId="24" borderId="57" xfId="0" applyNumberFormat="1" applyFill="1" applyBorder="1" applyAlignment="1">
      <alignment horizontal="center"/>
    </xf>
    <xf numFmtId="0" fontId="45" fillId="0" borderId="0" xfId="0" applyFont="1" applyBorder="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pplyProtection="1">
      <alignment horizontal="right"/>
    </xf>
    <xf numFmtId="0" fontId="46" fillId="0" borderId="10" xfId="2" applyFont="1" applyBorder="1" applyProtection="1"/>
    <xf numFmtId="0" fontId="49" fillId="0" borderId="10" xfId="2" applyFont="1" applyBorder="1" applyAlignment="1" applyProtection="1">
      <alignment horizontal="left"/>
    </xf>
    <xf numFmtId="0" fontId="48" fillId="0" borderId="10" xfId="2" applyFont="1" applyBorder="1" applyAlignment="1" applyProtection="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ont="1" applyFill="1" applyBorder="1" applyAlignment="1">
      <alignment horizontal="center"/>
    </xf>
    <xf numFmtId="0" fontId="0" fillId="29" borderId="26" xfId="0" applyFill="1" applyBorder="1" applyAlignment="1" applyProtection="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NumberFormat="1" applyFont="1" applyFill="1" applyBorder="1" applyAlignment="1">
      <alignment horizontal="center"/>
    </xf>
    <xf numFmtId="0" fontId="33" fillId="5" borderId="20" xfId="2" applyNumberFormat="1" applyFont="1" applyFill="1" applyBorder="1" applyAlignment="1">
      <alignment horizontal="center"/>
    </xf>
    <xf numFmtId="0" fontId="33" fillId="5" borderId="23" xfId="2" applyNumberFormat="1"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ont="1" applyFill="1" applyBorder="1" applyAlignment="1" applyProtection="1">
      <alignment horizontal="center" vertical="center"/>
      <protection hidden="1"/>
    </xf>
    <xf numFmtId="0" fontId="0" fillId="0" borderId="22" xfId="0" applyBorder="1" applyAlignment="1">
      <alignment horizontal="center" vertical="center"/>
    </xf>
    <xf numFmtId="1" fontId="0" fillId="0" borderId="22" xfId="0" applyNumberFormat="1"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0" fontId="0" fillId="0" borderId="33" xfId="0" applyFont="1" applyBorder="1" applyAlignment="1">
      <alignment horizontal="center" vertical="center"/>
    </xf>
    <xf numFmtId="0" fontId="0"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2" fillId="0" borderId="0" xfId="0" applyFont="1" applyFill="1" applyBorder="1" applyAlignment="1">
      <alignment horizontal="center"/>
    </xf>
    <xf numFmtId="0" fontId="45" fillId="0" borderId="0" xfId="2" applyFont="1" applyBorder="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Border="1" applyProtection="1"/>
    <xf numFmtId="0" fontId="15" fillId="0" borderId="0" xfId="0" applyFont="1" applyFill="1" applyBorder="1" applyProtection="1"/>
    <xf numFmtId="0" fontId="2" fillId="0" borderId="0" xfId="0" applyFont="1" applyBorder="1" applyAlignment="1" applyProtection="1">
      <alignment horizontal="right"/>
    </xf>
    <xf numFmtId="0" fontId="15" fillId="0" borderId="0" xfId="0" applyFont="1" applyBorder="1" applyAlignment="1" applyProtection="1">
      <alignment horizontal="right"/>
    </xf>
    <xf numFmtId="0" fontId="2" fillId="0" borderId="0" xfId="0" applyFont="1" applyBorder="1" applyProtection="1"/>
    <xf numFmtId="0" fontId="42" fillId="0" borderId="0" xfId="0" applyFont="1" applyBorder="1" applyAlignment="1" applyProtection="1">
      <alignment horizontal="center"/>
    </xf>
    <xf numFmtId="0" fontId="15" fillId="0" borderId="0" xfId="0" applyFont="1" applyFill="1" applyBorder="1" applyAlignment="1" applyProtection="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0" fillId="0" borderId="0" xfId="0" applyBorder="1" applyProtection="1"/>
    <xf numFmtId="0" fontId="15" fillId="0" borderId="2" xfId="0" applyFont="1" applyFill="1" applyBorder="1" applyAlignment="1" applyProtection="1">
      <alignment horizontal="center"/>
    </xf>
    <xf numFmtId="0" fontId="15" fillId="0" borderId="64" xfId="0" applyFont="1" applyFill="1" applyBorder="1" applyAlignment="1" applyProtection="1">
      <alignment horizontal="center"/>
    </xf>
    <xf numFmtId="0" fontId="0" fillId="0" borderId="0" xfId="0" applyFont="1" applyFill="1" applyBorder="1" applyAlignment="1" applyProtection="1">
      <alignment horizontal="center"/>
    </xf>
    <xf numFmtId="201" fontId="15" fillId="0" borderId="0" xfId="0" applyNumberFormat="1" applyFont="1" applyBorder="1" applyProtection="1"/>
    <xf numFmtId="0" fontId="0" fillId="0" borderId="0" xfId="0" applyBorder="1" applyAlignment="1" applyProtection="1">
      <alignment horizontal="left"/>
    </xf>
    <xf numFmtId="191" fontId="0" fillId="0" borderId="0" xfId="0" applyNumberFormat="1" applyBorder="1" applyProtection="1"/>
    <xf numFmtId="192" fontId="0" fillId="0" borderId="0" xfId="0" applyNumberFormat="1" applyFill="1" applyBorder="1" applyProtection="1"/>
    <xf numFmtId="0" fontId="43" fillId="0" borderId="0" xfId="0" applyFont="1" applyBorder="1" applyProtection="1"/>
    <xf numFmtId="0" fontId="2" fillId="0" borderId="31" xfId="0" applyFont="1" applyBorder="1" applyProtection="1"/>
    <xf numFmtId="0" fontId="2" fillId="0" borderId="33" xfId="0" applyFont="1" applyBorder="1" applyProtection="1"/>
    <xf numFmtId="192" fontId="2" fillId="30" borderId="32" xfId="0" applyNumberFormat="1" applyFont="1" applyFill="1" applyBorder="1" applyProtection="1">
      <protection locked="0"/>
    </xf>
    <xf numFmtId="0" fontId="2" fillId="0" borderId="21" xfId="0" applyFont="1" applyBorder="1" applyProtection="1"/>
    <xf numFmtId="0" fontId="2" fillId="0" borderId="22" xfId="0" applyFont="1" applyBorder="1" applyProtection="1"/>
    <xf numFmtId="198" fontId="2" fillId="0" borderId="23" xfId="0" applyNumberFormat="1" applyFont="1" applyFill="1" applyBorder="1" applyProtection="1"/>
    <xf numFmtId="0" fontId="42" fillId="0" borderId="0" xfId="0" applyFont="1" applyBorder="1" applyAlignment="1" applyProtection="1"/>
    <xf numFmtId="0" fontId="2" fillId="0" borderId="31" xfId="0" applyFont="1" applyBorder="1" applyAlignment="1" applyProtection="1"/>
    <xf numFmtId="0" fontId="2" fillId="0" borderId="33" xfId="0" applyFont="1" applyBorder="1" applyAlignment="1" applyProtection="1"/>
    <xf numFmtId="0" fontId="2" fillId="0" borderId="19" xfId="0" applyFont="1" applyBorder="1" applyAlignment="1" applyProtection="1"/>
    <xf numFmtId="0" fontId="2" fillId="0" borderId="0" xfId="0" applyFont="1" applyBorder="1" applyAlignment="1" applyProtection="1"/>
    <xf numFmtId="0" fontId="2" fillId="0" borderId="21" xfId="0" applyFont="1" applyBorder="1" applyAlignment="1" applyProtection="1"/>
    <xf numFmtId="0" fontId="2" fillId="0" borderId="22" xfId="0" applyFont="1" applyBorder="1" applyAlignment="1" applyProtection="1"/>
    <xf numFmtId="3" fontId="2" fillId="30" borderId="32" xfId="0" applyNumberFormat="1" applyFont="1" applyFill="1" applyBorder="1" applyAlignment="1" applyProtection="1">
      <alignment horizontal="center"/>
    </xf>
    <xf numFmtId="191" fontId="2" fillId="0" borderId="33" xfId="0" applyNumberFormat="1" applyFont="1" applyFill="1" applyBorder="1" applyAlignment="1" applyProtection="1">
      <alignment horizontal="center"/>
    </xf>
    <xf numFmtId="192" fontId="2" fillId="0" borderId="32" xfId="0" applyNumberFormat="1" applyFont="1" applyFill="1" applyBorder="1" applyAlignment="1" applyProtection="1">
      <alignment horizontal="center"/>
    </xf>
    <xf numFmtId="191" fontId="2" fillId="0" borderId="22" xfId="0" applyNumberFormat="1" applyFont="1" applyFill="1" applyBorder="1" applyAlignment="1" applyProtection="1">
      <alignment horizontal="center"/>
    </xf>
    <xf numFmtId="192" fontId="2" fillId="0" borderId="23" xfId="0" applyNumberFormat="1" applyFont="1" applyFill="1" applyBorder="1" applyAlignment="1" applyProtection="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Fill="1" applyBorder="1" applyAlignment="1" applyProtection="1">
      <alignment horizontal="center"/>
    </xf>
    <xf numFmtId="201" fontId="2" fillId="0" borderId="23" xfId="0" applyNumberFormat="1" applyFont="1" applyBorder="1" applyAlignment="1" applyProtection="1">
      <alignment horizontal="center"/>
    </xf>
    <xf numFmtId="199" fontId="2" fillId="0" borderId="33" xfId="0" applyNumberFormat="1" applyFont="1" applyFill="1" applyBorder="1" applyAlignment="1" applyProtection="1">
      <alignment horizontal="center"/>
    </xf>
    <xf numFmtId="200" fontId="2" fillId="0" borderId="32" xfId="0" applyNumberFormat="1" applyFont="1" applyFill="1" applyBorder="1" applyAlignment="1" applyProtection="1">
      <alignment horizontal="center"/>
    </xf>
    <xf numFmtId="191" fontId="2" fillId="0" borderId="0" xfId="0" applyNumberFormat="1" applyFont="1" applyFill="1" applyBorder="1" applyAlignment="1" applyProtection="1">
      <alignment horizontal="center"/>
    </xf>
    <xf numFmtId="192" fontId="2" fillId="0" borderId="20" xfId="0" applyNumberFormat="1" applyFont="1" applyFill="1" applyBorder="1" applyAlignment="1" applyProtection="1">
      <alignment horizontal="center"/>
    </xf>
    <xf numFmtId="0" fontId="15" fillId="0" borderId="10" xfId="0" applyFont="1" applyFill="1" applyBorder="1" applyProtection="1"/>
    <xf numFmtId="0" fontId="15" fillId="0" borderId="10" xfId="0" applyFont="1" applyBorder="1" applyProtection="1"/>
    <xf numFmtId="0" fontId="0" fillId="29" borderId="20" xfId="0" applyFill="1" applyBorder="1" applyAlignment="1" applyProtection="1">
      <alignment horizontal="center"/>
    </xf>
    <xf numFmtId="0" fontId="0" fillId="29" borderId="26" xfId="0" applyFill="1" applyBorder="1" applyAlignment="1">
      <alignment horizontal="center"/>
    </xf>
    <xf numFmtId="0" fontId="0" fillId="31" borderId="65" xfId="0" applyNumberFormat="1"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170" fontId="2" fillId="3" borderId="25" xfId="0" applyNumberFormat="1" applyFont="1" applyFill="1" applyBorder="1" applyAlignment="1" applyProtection="1">
      <alignment horizontal="center" vertical="center"/>
      <protection locked="0"/>
    </xf>
    <xf numFmtId="0" fontId="2" fillId="28" borderId="2" xfId="0" applyFont="1" applyFill="1" applyBorder="1" applyAlignment="1">
      <alignment horizontal="center" vertical="center"/>
    </xf>
    <xf numFmtId="0" fontId="0" fillId="0" borderId="0" xfId="0" applyFont="1" applyFill="1" applyBorder="1" applyAlignment="1">
      <alignment horizontal="center"/>
    </xf>
    <xf numFmtId="0" fontId="0" fillId="30" borderId="0" xfId="0" applyFill="1"/>
    <xf numFmtId="0" fontId="0" fillId="30" borderId="0" xfId="0" applyFill="1" applyAlignment="1">
      <alignment horizontal="center"/>
    </xf>
    <xf numFmtId="0" fontId="0" fillId="0" borderId="0" xfId="0" applyFill="1" applyBorder="1" applyAlignment="1" applyProtection="1">
      <alignment horizontal="center"/>
      <protection locked="0"/>
    </xf>
    <xf numFmtId="0" fontId="0" fillId="29" borderId="25" xfId="0" applyFill="1" applyBorder="1" applyAlignment="1">
      <alignment horizontal="center"/>
    </xf>
    <xf numFmtId="0" fontId="1" fillId="0" borderId="0" xfId="2" applyFont="1" applyBorder="1" applyProtection="1">
      <protection locked="0"/>
    </xf>
    <xf numFmtId="0" fontId="1" fillId="0" borderId="0" xfId="2" applyFont="1"/>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0" fontId="45" fillId="0" borderId="0" xfId="0" applyFont="1" applyAlignment="1">
      <alignment vertical="center"/>
    </xf>
    <xf numFmtId="0" fontId="0" fillId="30" borderId="2" xfId="0" applyFill="1" applyBorder="1" applyAlignment="1">
      <alignmen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Border="1" applyAlignment="1">
      <alignment vertical="center"/>
    </xf>
    <xf numFmtId="0" fontId="2" fillId="0" borderId="0" xfId="0" applyFont="1" applyFill="1" applyBorder="1" applyAlignment="1" applyProtection="1">
      <alignment horizontal="center" vertical="center"/>
      <protection hidden="1"/>
    </xf>
    <xf numFmtId="186" fontId="2" fillId="0" borderId="0" xfId="0" applyNumberFormat="1" applyFont="1" applyFill="1" applyBorder="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ont="1" applyFill="1" applyBorder="1" applyAlignment="1">
      <alignment horizontal="center" vertical="center"/>
    </xf>
    <xf numFmtId="175" fontId="2" fillId="7" borderId="2" xfId="0" applyNumberFormat="1" applyFont="1" applyFill="1" applyBorder="1" applyAlignment="1">
      <alignment horizontal="center" vertical="center"/>
    </xf>
    <xf numFmtId="0" fontId="0" fillId="0" borderId="0" xfId="0" applyFill="1" applyBorder="1" applyAlignment="1">
      <alignment vertical="center"/>
    </xf>
    <xf numFmtId="166" fontId="2" fillId="0" borderId="0" xfId="0" applyNumberFormat="1" applyFont="1" applyFill="1" applyBorder="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ont="1" applyFill="1" applyBorder="1" applyAlignment="1">
      <alignment horizontal="center" vertical="center"/>
    </xf>
    <xf numFmtId="186" fontId="0" fillId="7" borderId="43" xfId="0" applyNumberFormat="1" applyFont="1" applyFill="1" applyBorder="1" applyAlignment="1">
      <alignment horizontal="center" vertical="center"/>
    </xf>
    <xf numFmtId="165" fontId="0" fillId="7" borderId="72" xfId="0" applyNumberFormat="1" applyFon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on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Border="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applyAlignment="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Border="1" applyAlignment="1" applyProtection="1">
      <alignment horizontal="center"/>
      <protection hidden="1"/>
    </xf>
    <xf numFmtId="0" fontId="8" fillId="0" borderId="0" xfId="2" applyFont="1" applyBorder="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0" fontId="0" fillId="0" borderId="0" xfId="0" applyFill="1" applyBorder="1" applyAlignment="1">
      <alignment horizontal="center"/>
    </xf>
    <xf numFmtId="0" fontId="0" fillId="0" borderId="0" xfId="0" applyFill="1" applyBorder="1" applyAlignment="1" applyProtection="1">
      <alignment horizontal="center"/>
    </xf>
    <xf numFmtId="0" fontId="2" fillId="0" borderId="33" xfId="0" applyFont="1" applyFill="1" applyBorder="1" applyAlignment="1">
      <alignment horizontal="center"/>
    </xf>
    <xf numFmtId="165" fontId="2" fillId="0" borderId="20" xfId="0" applyNumberFormat="1" applyFont="1" applyFill="1" applyBorder="1" applyAlignment="1">
      <alignment horizontal="center" vertical="center"/>
    </xf>
    <xf numFmtId="165" fontId="2" fillId="0" borderId="20" xfId="0" applyNumberFormat="1" applyFont="1" applyFill="1" applyBorder="1" applyAlignment="1">
      <alignment horizontal="center"/>
    </xf>
    <xf numFmtId="0" fontId="2" fillId="0" borderId="22" xfId="0" applyFont="1" applyFill="1" applyBorder="1" applyAlignment="1">
      <alignment horizontal="center"/>
    </xf>
    <xf numFmtId="175" fontId="2" fillId="0" borderId="0" xfId="0" applyNumberFormat="1" applyFont="1" applyFill="1" applyBorder="1" applyAlignment="1" applyProtection="1">
      <alignment horizontal="center" vertical="center"/>
    </xf>
    <xf numFmtId="0" fontId="2" fillId="0" borderId="22" xfId="0" applyFont="1" applyFill="1" applyBorder="1" applyAlignment="1">
      <alignment horizontal="center" vertical="center"/>
    </xf>
    <xf numFmtId="182" fontId="2" fillId="0" borderId="0" xfId="0" applyNumberFormat="1" applyFont="1" applyFill="1" applyBorder="1" applyAlignment="1">
      <alignment horizontal="center"/>
    </xf>
    <xf numFmtId="1" fontId="2" fillId="0" borderId="0" xfId="0" applyNumberFormat="1" applyFont="1" applyFill="1" applyBorder="1" applyAlignment="1">
      <alignment horizontal="center" vertical="center"/>
    </xf>
    <xf numFmtId="14" fontId="2" fillId="0" borderId="0" xfId="0" applyNumberFormat="1" applyFont="1" applyBorder="1" applyAlignment="1">
      <alignment horizontal="center"/>
    </xf>
    <xf numFmtId="0" fontId="0" fillId="0" borderId="0" xfId="0" applyFont="1" applyBorder="1" applyAlignment="1" applyProtection="1">
      <alignment horizontal="right"/>
    </xf>
    <xf numFmtId="0" fontId="2" fillId="0" borderId="0" xfId="0" applyFont="1" applyBorder="1" applyAlignment="1">
      <alignment horizontal="right"/>
    </xf>
    <xf numFmtId="0" fontId="0" fillId="0" borderId="0" xfId="0" applyBorder="1" applyAlignment="1" applyProtection="1">
      <alignment horizontal="right"/>
    </xf>
    <xf numFmtId="0" fontId="0" fillId="0" borderId="64" xfId="0" applyBorder="1" applyAlignment="1">
      <alignment horizontal="center"/>
    </xf>
    <xf numFmtId="0" fontId="0" fillId="0" borderId="0" xfId="0" applyFont="1" applyBorder="1" applyAlignment="1">
      <alignment horizontal="right"/>
    </xf>
    <xf numFmtId="0" fontId="0" fillId="0" borderId="0" xfId="0" applyFont="1" applyFill="1" applyBorder="1" applyAlignment="1" applyProtection="1">
      <alignment horizontal="right"/>
    </xf>
    <xf numFmtId="0" fontId="0" fillId="0" borderId="2" xfId="0" applyFont="1" applyFill="1" applyBorder="1" applyAlignment="1" applyProtection="1">
      <alignment horizontal="center"/>
    </xf>
    <xf numFmtId="0" fontId="0" fillId="0" borderId="2" xfId="0" applyFont="1" applyBorder="1" applyAlignment="1">
      <alignment horizontal="center"/>
    </xf>
    <xf numFmtId="0" fontId="0" fillId="0" borderId="0" xfId="0" applyFill="1" applyBorder="1" applyAlignment="1" applyProtection="1">
      <alignment horizontal="right"/>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Fill="1" applyBorder="1" applyAlignment="1">
      <alignment horizontal="center" vertical="center"/>
    </xf>
    <xf numFmtId="0" fontId="2" fillId="0" borderId="2" xfId="0" applyFont="1" applyFill="1" applyBorder="1" applyAlignment="1">
      <alignment horizontal="center"/>
    </xf>
    <xf numFmtId="175" fontId="2" fillId="0" borderId="2" xfId="0" applyNumberFormat="1" applyFont="1" applyFill="1" applyBorder="1" applyAlignment="1" applyProtection="1">
      <alignment horizontal="center" vertical="center"/>
    </xf>
    <xf numFmtId="0" fontId="2" fillId="0" borderId="2" xfId="0" applyNumberFormat="1" applyFont="1" applyBorder="1" applyAlignment="1">
      <alignment horizontal="center"/>
    </xf>
    <xf numFmtId="0" fontId="2" fillId="0" borderId="2" xfId="0" applyNumberFormat="1" applyFont="1" applyFill="1" applyBorder="1" applyAlignment="1">
      <alignment horizontal="center" vertical="center"/>
    </xf>
    <xf numFmtId="0" fontId="2" fillId="0" borderId="2" xfId="0" applyNumberFormat="1" applyFont="1" applyFill="1" applyBorder="1" applyAlignment="1">
      <alignment horizontal="center"/>
    </xf>
    <xf numFmtId="0" fontId="2" fillId="0" borderId="2" xfId="0" applyNumberFormat="1" applyFont="1" applyFill="1" applyBorder="1" applyAlignment="1" applyProtection="1">
      <alignment horizontal="center" vertical="center"/>
    </xf>
    <xf numFmtId="0" fontId="2" fillId="0" borderId="0" xfId="0" applyNumberFormat="1" applyFont="1" applyFill="1" applyBorder="1" applyAlignment="1" applyProtection="1">
      <alignment horizontal="center" vertical="center"/>
    </xf>
    <xf numFmtId="0" fontId="2" fillId="0" borderId="0" xfId="0" applyNumberFormat="1" applyFont="1" applyBorder="1"/>
    <xf numFmtId="175" fontId="2" fillId="0" borderId="2" xfId="0" applyNumberFormat="1" applyFont="1" applyFill="1" applyBorder="1" applyAlignment="1" applyProtection="1">
      <alignment horizontal="right" vertical="center"/>
    </xf>
    <xf numFmtId="0" fontId="0" fillId="0" borderId="20" xfId="0" applyFont="1" applyFill="1" applyBorder="1" applyAlignment="1">
      <alignment horizontal="center"/>
    </xf>
    <xf numFmtId="0" fontId="0" fillId="0" borderId="0" xfId="0" applyBorder="1" applyAlignment="1">
      <alignment horizontal="left" vertical="top"/>
    </xf>
    <xf numFmtId="0" fontId="0" fillId="0" borderId="0" xfId="0" applyFont="1" applyBorder="1"/>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2"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Border="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 fillId="19" borderId="0" xfId="2" applyFont="1" applyFill="1" applyBorder="1" applyAlignment="1">
      <alignment horizontal="center"/>
    </xf>
    <xf numFmtId="0" fontId="2" fillId="0" borderId="0" xfId="2" applyFont="1" applyBorder="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45" fillId="0" borderId="83" xfId="2" applyFont="1" applyBorder="1" applyAlignment="1">
      <alignment horizontal="center"/>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17" fillId="5" borderId="31" xfId="2" applyNumberFormat="1" applyFont="1" applyFill="1" applyBorder="1" applyAlignment="1">
      <alignment horizontal="center" vertical="center"/>
    </xf>
    <xf numFmtId="0" fontId="17" fillId="5" borderId="32" xfId="2" applyNumberFormat="1" applyFont="1" applyFill="1" applyBorder="1" applyAlignment="1">
      <alignment horizontal="center" vertical="center"/>
    </xf>
    <xf numFmtId="0" fontId="17" fillId="5" borderId="21" xfId="2" applyNumberFormat="1" applyFont="1" applyFill="1" applyBorder="1" applyAlignment="1">
      <alignment horizontal="center" vertical="center"/>
    </xf>
    <xf numFmtId="0" fontId="17" fillId="5" borderId="23" xfId="2" applyNumberFormat="1"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0" fontId="15" fillId="0" borderId="0" xfId="2" applyFont="1" applyBorder="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46" xfId="0" applyNumberFormat="1" applyFont="1" applyFill="1" applyBorder="1" applyAlignment="1" applyProtection="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pplyProtection="1">
      <alignment horizontal="center"/>
    </xf>
    <xf numFmtId="0" fontId="2" fillId="13" borderId="91" xfId="0" applyFont="1" applyFill="1" applyBorder="1" applyAlignment="1" applyProtection="1">
      <alignment horizontal="center"/>
    </xf>
    <xf numFmtId="0" fontId="2" fillId="12" borderId="15" xfId="0" applyFont="1" applyFill="1" applyBorder="1" applyAlignment="1" applyProtection="1">
      <alignment horizontal="center"/>
      <protection hidden="1"/>
    </xf>
    <xf numFmtId="166" fontId="2" fillId="17" borderId="46" xfId="0" applyNumberFormat="1" applyFont="1" applyFill="1" applyBorder="1" applyAlignment="1">
      <alignment horizontal="center" vertical="center"/>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3" fillId="20" borderId="0" xfId="0" applyFont="1" applyFill="1" applyBorder="1" applyAlignment="1">
      <alignment horizontal="center"/>
    </xf>
    <xf numFmtId="0" fontId="35" fillId="13" borderId="15" xfId="0" applyFont="1" applyFill="1" applyBorder="1" applyAlignment="1" applyProtection="1">
      <alignment horizontal="center"/>
    </xf>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0" fillId="0" borderId="0" xfId="0" applyAlignment="1">
      <alignment horizontal="center"/>
    </xf>
    <xf numFmtId="0" fontId="0" fillId="30" borderId="21" xfId="0" applyFill="1" applyBorder="1" applyAlignment="1">
      <alignment horizontal="center"/>
    </xf>
    <xf numFmtId="0" fontId="0" fillId="30" borderId="23" xfId="0" applyFill="1" applyBorder="1" applyAlignment="1">
      <alignment horizontal="center"/>
    </xf>
    <xf numFmtId="0" fontId="0" fillId="0" borderId="0" xfId="0" applyFill="1" applyBorder="1" applyAlignment="1" applyProtection="1">
      <alignment horizontal="center"/>
    </xf>
    <xf numFmtId="0" fontId="0" fillId="0" borderId="0" xfId="0" applyFill="1" applyBorder="1" applyAlignment="1">
      <alignment horizontal="center"/>
    </xf>
    <xf numFmtId="0" fontId="0" fillId="0" borderId="0" xfId="0" applyAlignment="1" applyProtection="1">
      <alignment horizontal="center"/>
      <protection locked="0"/>
    </xf>
    <xf numFmtId="0" fontId="0" fillId="30" borderId="19" xfId="0" applyFill="1" applyBorder="1" applyAlignment="1" applyProtection="1">
      <alignment horizontal="center"/>
    </xf>
    <xf numFmtId="0" fontId="0" fillId="30" borderId="20" xfId="0" applyFill="1" applyBorder="1" applyAlignment="1" applyProtection="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4" borderId="0" xfId="0" applyFill="1" applyBorder="1" applyAlignment="1" applyProtection="1">
      <alignment horizontal="center"/>
      <protection locked="0"/>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0" borderId="33" xfId="0" applyBorder="1" applyAlignment="1" applyProtection="1">
      <alignment horizontal="center"/>
      <protection locked="0"/>
    </xf>
    <xf numFmtId="0" fontId="0" fillId="0" borderId="0" xfId="0" applyFill="1"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28" borderId="31" xfId="0" applyFont="1" applyFill="1" applyBorder="1" applyAlignment="1">
      <alignment horizontal="center"/>
    </xf>
    <xf numFmtId="0" fontId="0" fillId="28" borderId="32" xfId="0" applyFont="1" applyFill="1" applyBorder="1" applyAlignment="1">
      <alignment horizontal="center"/>
    </xf>
    <xf numFmtId="0" fontId="0" fillId="28" borderId="31" xfId="0" applyFill="1" applyBorder="1" applyAlignment="1">
      <alignment horizontal="center"/>
    </xf>
    <xf numFmtId="0" fontId="0" fillId="0" borderId="33" xfId="0" applyBorder="1" applyAlignment="1">
      <alignment horizontal="center"/>
    </xf>
    <xf numFmtId="2" fontId="0" fillId="22" borderId="53" xfId="0" applyNumberFormat="1" applyFont="1" applyFill="1" applyBorder="1" applyAlignment="1">
      <alignment horizontal="center"/>
    </xf>
    <xf numFmtId="2" fontId="0" fillId="22" borderId="65" xfId="0" applyNumberFormat="1" applyFont="1" applyFill="1" applyBorder="1" applyAlignment="1">
      <alignment horizontal="center"/>
    </xf>
    <xf numFmtId="2" fontId="0" fillId="22" borderId="11" xfId="0" applyNumberFormat="1" applyFont="1" applyFill="1" applyBorder="1" applyAlignment="1">
      <alignment horizontal="center"/>
    </xf>
    <xf numFmtId="2" fontId="0" fillId="22" borderId="54" xfId="0" applyNumberFormat="1" applyFont="1" applyFill="1" applyBorder="1" applyAlignment="1">
      <alignment horizontal="center"/>
    </xf>
    <xf numFmtId="0" fontId="0" fillId="22" borderId="99" xfId="0" applyFont="1" applyFill="1" applyBorder="1" applyAlignment="1">
      <alignment horizontal="center"/>
    </xf>
    <xf numFmtId="0" fontId="0" fillId="22" borderId="100" xfId="0" applyFont="1" applyFill="1" applyBorder="1" applyAlignment="1">
      <alignment horizontal="center"/>
    </xf>
    <xf numFmtId="0" fontId="0" fillId="22" borderId="101" xfId="0" applyFont="1" applyFill="1" applyBorder="1" applyAlignment="1">
      <alignment horizontal="center"/>
    </xf>
    <xf numFmtId="2" fontId="0" fillId="22" borderId="52" xfId="0" applyNumberFormat="1" applyFill="1" applyBorder="1" applyAlignment="1">
      <alignment horizontal="center"/>
    </xf>
    <xf numFmtId="2" fontId="0" fillId="22" borderId="52" xfId="0" applyNumberFormat="1" applyFont="1" applyFill="1" applyBorder="1" applyAlignment="1">
      <alignment horizontal="center"/>
    </xf>
    <xf numFmtId="194" fontId="2" fillId="13" borderId="46" xfId="0" applyNumberFormat="1" applyFont="1" applyFill="1" applyBorder="1" applyAlignment="1" applyProtection="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pplyProtection="1">
      <alignment horizontal="center" vertical="center"/>
    </xf>
    <xf numFmtId="0" fontId="2" fillId="13" borderId="46" xfId="0" applyNumberFormat="1" applyFont="1" applyFill="1" applyBorder="1" applyAlignment="1" applyProtection="1">
      <alignment horizontal="center" vertical="center"/>
    </xf>
    <xf numFmtId="165" fontId="2" fillId="0" borderId="33" xfId="0" applyNumberFormat="1" applyFont="1" applyFill="1" applyBorder="1" applyAlignment="1">
      <alignment horizontal="center" vertical="center"/>
    </xf>
    <xf numFmtId="165" fontId="2" fillId="0" borderId="32" xfId="0" applyNumberFormat="1" applyFont="1" applyFill="1" applyBorder="1" applyAlignment="1">
      <alignment horizontal="center" vertical="center"/>
    </xf>
    <xf numFmtId="165" fontId="2" fillId="0" borderId="0" xfId="0" applyNumberFormat="1" applyFont="1" applyFill="1" applyBorder="1" applyAlignment="1">
      <alignment horizontal="center" vertical="center"/>
    </xf>
    <xf numFmtId="165" fontId="2" fillId="0" borderId="20" xfId="0" applyNumberFormat="1" applyFont="1" applyFill="1" applyBorder="1" applyAlignment="1">
      <alignment horizontal="center" vertical="center"/>
    </xf>
    <xf numFmtId="0" fontId="2" fillId="0" borderId="12" xfId="0" applyFont="1" applyBorder="1" applyAlignment="1">
      <alignment horizontal="center" vertical="center"/>
    </xf>
    <xf numFmtId="0" fontId="2" fillId="0" borderId="102" xfId="0" applyFont="1" applyBorder="1" applyAlignment="1">
      <alignment horizontal="center" vertical="center"/>
    </xf>
    <xf numFmtId="0" fontId="2" fillId="0" borderId="0" xfId="0" applyFont="1" applyFill="1" applyBorder="1" applyAlignment="1" applyProtection="1">
      <alignment horizontal="center" vertical="center"/>
    </xf>
    <xf numFmtId="0" fontId="2" fillId="0" borderId="20" xfId="0" applyFont="1" applyFill="1" applyBorder="1" applyAlignment="1" applyProtection="1">
      <alignment horizontal="center" vertical="center"/>
    </xf>
    <xf numFmtId="175" fontId="2" fillId="0" borderId="22" xfId="0" applyNumberFormat="1" applyFont="1" applyFill="1" applyBorder="1" applyAlignment="1" applyProtection="1">
      <alignment horizontal="center" vertical="center"/>
    </xf>
    <xf numFmtId="175" fontId="2" fillId="0" borderId="23" xfId="0" applyNumberFormat="1" applyFont="1" applyFill="1" applyBorder="1" applyAlignment="1" applyProtection="1">
      <alignment horizontal="center" vertical="center"/>
    </xf>
    <xf numFmtId="165" fontId="2" fillId="0" borderId="12" xfId="0" applyNumberFormat="1" applyFont="1" applyFill="1" applyBorder="1" applyAlignment="1">
      <alignment horizontal="center" vertical="center"/>
    </xf>
    <xf numFmtId="1" fontId="2" fillId="0" borderId="12" xfId="0" applyNumberFormat="1" applyFont="1" applyFill="1" applyBorder="1" applyAlignment="1">
      <alignment horizontal="center" vertical="center"/>
    </xf>
    <xf numFmtId="0" fontId="2" fillId="0" borderId="21" xfId="0" applyFont="1" applyFill="1" applyBorder="1" applyAlignment="1" applyProtection="1">
      <alignment horizontal="left"/>
    </xf>
    <xf numFmtId="0" fontId="2" fillId="0" borderId="22" xfId="0" applyFont="1" applyFill="1" applyBorder="1" applyAlignment="1" applyProtection="1">
      <alignment horizontal="left"/>
    </xf>
    <xf numFmtId="0" fontId="2" fillId="0" borderId="31" xfId="0" applyFont="1" applyBorder="1" applyAlignment="1" applyProtection="1">
      <alignment horizontal="left"/>
    </xf>
    <xf numFmtId="0" fontId="2" fillId="0" borderId="33" xfId="0" applyFont="1" applyBorder="1" applyAlignment="1" applyProtection="1">
      <alignment horizontal="left"/>
    </xf>
    <xf numFmtId="0" fontId="2" fillId="0" borderId="21" xfId="0" applyFont="1" applyBorder="1" applyAlignment="1" applyProtection="1">
      <alignment horizontal="left"/>
    </xf>
    <xf numFmtId="0" fontId="2" fillId="0" borderId="22" xfId="0" applyFont="1" applyBorder="1" applyAlignment="1" applyProtection="1">
      <alignment horizontal="left"/>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Border="1" applyAlignment="1">
      <alignment horizontal="center" vertical="center"/>
    </xf>
    <xf numFmtId="165" fontId="2" fillId="0" borderId="20" xfId="0" applyNumberFormat="1" applyFont="1" applyBorder="1" applyAlignment="1">
      <alignment horizontal="center" vertical="center"/>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theme="0"/>
      </font>
      <fill>
        <patternFill>
          <bgColor theme="0"/>
        </patternFill>
      </fill>
      <border>
        <left/>
        <right/>
        <top/>
        <bottom/>
      </border>
    </dxf>
    <dxf>
      <font>
        <color rgb="FFFFFF99"/>
        <name val="Cambria"/>
        <scheme val="none"/>
      </font>
    </dxf>
    <dxf>
      <font>
        <color rgb="FFFFCC99"/>
      </font>
    </dxf>
    <dxf>
      <fill>
        <patternFill>
          <bgColor rgb="FFFF0000"/>
        </patternFill>
      </fill>
    </dxf>
    <dxf>
      <fill>
        <patternFill>
          <bgColor rgb="FFFF0000"/>
        </patternFill>
      </fill>
    </dxf>
    <dxf>
      <font>
        <color rgb="FFCC6600"/>
      </font>
    </dxf>
    <dxf>
      <font>
        <color rgb="FFCC6600"/>
      </font>
    </dxf>
    <dxf>
      <font>
        <color rgb="FF808080"/>
      </font>
    </dxf>
    <dxf>
      <font>
        <color rgb="FFFF0000"/>
      </font>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indexed="9"/>
      </font>
      <fill>
        <patternFill patternType="solid">
          <bgColor indexed="9"/>
        </patternFill>
      </fill>
      <border>
        <left/>
        <right/>
        <top/>
        <bottom/>
      </border>
    </dxf>
    <dxf>
      <font>
        <color theme="0"/>
      </font>
      <fill>
        <patternFill patternType="solid">
          <bgColor theme="0"/>
        </patternFill>
      </fill>
      <border>
        <right/>
        <bottom/>
      </border>
    </dxf>
    <dxf>
      <font>
        <color rgb="FFCCFFFF"/>
      </font>
    </dxf>
    <dxf>
      <fill>
        <patternFill>
          <bgColor indexed="10"/>
        </patternFill>
      </fill>
    </dxf>
    <dxf>
      <font>
        <color theme="0"/>
      </font>
      <fill>
        <patternFill>
          <bgColor theme="0"/>
        </patternFill>
      </fill>
      <border>
        <right/>
        <top/>
        <bottom/>
      </border>
    </dxf>
    <dxf>
      <fill>
        <patternFill patternType="solid">
          <fgColor indexed="53"/>
          <bgColor rgb="FFFF0000"/>
        </patternFill>
      </fill>
    </dxf>
    <dxf>
      <fill>
        <patternFill patternType="solid">
          <fgColor indexed="60"/>
          <bgColor indexed="10"/>
        </patternFill>
      </fill>
    </dxf>
    <dxf>
      <fill>
        <patternFill patternType="solid">
          <fgColor indexed="60"/>
          <bgColor indexed="10"/>
        </patternFill>
      </fill>
    </dxf>
    <dxf>
      <font>
        <color rgb="FFFF0000"/>
      </font>
    </dxf>
    <dxf>
      <font>
        <color theme="0"/>
      </font>
    </dxf>
    <dxf>
      <font>
        <color theme="1"/>
      </font>
    </dxf>
    <dxf>
      <font>
        <color theme="1"/>
      </font>
    </dxf>
    <dxf>
      <font>
        <color rgb="FFCC6600"/>
      </font>
    </dxf>
    <dxf>
      <font>
        <color rgb="FFCC6600"/>
      </font>
    </dxf>
    <dxf>
      <font>
        <color rgb="FFCC6600"/>
      </font>
    </dxf>
    <dxf>
      <font>
        <color rgb="FFCC6600"/>
      </font>
    </dxf>
    <dxf>
      <font>
        <color rgb="FFCC6600"/>
      </font>
    </dxf>
    <dxf>
      <font>
        <color rgb="FFCC6600"/>
      </font>
    </dxf>
    <dxf>
      <font>
        <color rgb="FFCC6600"/>
      </font>
    </dxf>
    <dxf>
      <font>
        <color rgb="FFFF0000"/>
      </font>
    </dxf>
    <dxf>
      <font>
        <color rgb="FF808080"/>
      </font>
    </dxf>
    <dxf>
      <font>
        <color rgb="FFFF0000"/>
      </font>
    </dxf>
    <dxf>
      <font>
        <color rgb="FFCC6600"/>
      </font>
    </dxf>
    <dxf>
      <font>
        <color theme="0"/>
      </font>
      <fill>
        <patternFill>
          <bgColor theme="0"/>
        </patternFill>
      </fill>
      <border>
        <left/>
        <right/>
        <bottom/>
      </border>
    </dxf>
    <dxf>
      <font>
        <condense val="0"/>
        <extend val="0"/>
        <color indexed="9"/>
      </font>
      <fill>
        <patternFill patternType="none">
          <bgColor indexed="65"/>
        </patternFill>
      </fill>
      <border>
        <left/>
        <right/>
        <top/>
        <bottom/>
      </border>
    </dxf>
    <dxf>
      <font>
        <color indexed="9"/>
      </font>
      <fill>
        <patternFill>
          <bgColor indexed="9"/>
        </patternFill>
      </fill>
      <border>
        <left/>
        <right/>
        <top/>
        <bottom/>
      </border>
    </dxf>
    <dxf>
      <font>
        <color rgb="FFFF0000"/>
      </font>
    </dxf>
    <dxf>
      <font>
        <color rgb="FFFF0000"/>
      </font>
    </dxf>
    <dxf>
      <font>
        <color rgb="FFFF0000"/>
      </font>
    </dxf>
    <dxf>
      <font>
        <color rgb="FFFF0000"/>
      </font>
    </dxf>
    <dxf>
      <font>
        <color rgb="FFFF0000"/>
      </font>
    </dxf>
    <dxf>
      <font>
        <color rgb="FFFF0000"/>
      </font>
    </dxf>
    <dxf>
      <font>
        <condense val="0"/>
        <extend val="0"/>
        <color indexed="11"/>
      </font>
    </dxf>
    <dxf>
      <font>
        <condense val="0"/>
        <extend val="0"/>
        <color indexed="9"/>
      </font>
      <fill>
        <patternFill patternType="none">
          <bgColor indexed="65"/>
        </patternFill>
      </fill>
      <border>
        <left/>
        <right/>
        <top/>
        <bottom/>
      </border>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50</c:v>
                </c:pt>
                <c:pt idx="2">
                  <c:v>50</c:v>
                </c:pt>
                <c:pt idx="3">
                  <c:v>50</c:v>
                </c:pt>
                <c:pt idx="4">
                  <c:v>50</c:v>
                </c:pt>
                <c:pt idx="5">
                  <c:v>50</c:v>
                </c:pt>
                <c:pt idx="6">
                  <c:v>50</c:v>
                </c:pt>
                <c:pt idx="7">
                  <c:v>0</c:v>
                </c:pt>
              </c:numCache>
            </c:numRef>
          </c:xVal>
          <c:yVal>
            <c:numRef>
              <c:f>Stabilito!$C$124:$C$131</c:f>
              <c:numCache>
                <c:formatCode>0</c:formatCode>
                <c:ptCount val="8"/>
                <c:pt idx="0">
                  <c:v>-250</c:v>
                </c:pt>
                <c:pt idx="1">
                  <c:v>-250</c:v>
                </c:pt>
                <c:pt idx="2">
                  <c:v>-250</c:v>
                </c:pt>
                <c:pt idx="3">
                  <c:v>-250</c:v>
                </c:pt>
                <c:pt idx="4">
                  <c:v>-250</c:v>
                </c:pt>
                <c:pt idx="5">
                  <c:v>-250</c:v>
                </c:pt>
                <c:pt idx="6">
                  <c:v>-1800</c:v>
                </c:pt>
                <c:pt idx="7">
                  <c:v>-1800</c:v>
                </c:pt>
              </c:numCache>
            </c:numRef>
          </c:yVal>
          <c:smooth val="0"/>
          <c:extLst>
            <c:ext xmlns:c16="http://schemas.microsoft.com/office/drawing/2014/chart" uri="{C3380CC4-5D6E-409C-BE32-E72D297353CC}">
              <c16:uniqueId val="{00000000-55B2-4265-BF98-AB5DCB6E604E}"/>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50</c:v>
                </c:pt>
                <c:pt idx="1">
                  <c:v>210</c:v>
                </c:pt>
                <c:pt idx="2">
                  <c:v>210</c:v>
                </c:pt>
                <c:pt idx="3">
                  <c:v>50</c:v>
                </c:pt>
                <c:pt idx="4">
                  <c:v>50</c:v>
                </c:pt>
              </c:numCache>
            </c:numRef>
          </c:xVal>
          <c:yVal>
            <c:numRef>
              <c:f>Stabilito!$C$132:$C$136</c:f>
              <c:numCache>
                <c:formatCode>0</c:formatCode>
                <c:ptCount val="5"/>
                <c:pt idx="0">
                  <c:v>-1550</c:v>
                </c:pt>
                <c:pt idx="1">
                  <c:v>-1750</c:v>
                </c:pt>
                <c:pt idx="2">
                  <c:v>-1870</c:v>
                </c:pt>
                <c:pt idx="3">
                  <c:v>-1800</c:v>
                </c:pt>
                <c:pt idx="4">
                  <c:v>-1550</c:v>
                </c:pt>
              </c:numCache>
            </c:numRef>
          </c:yVal>
          <c:smooth val="0"/>
          <c:extLst>
            <c:ext xmlns:c16="http://schemas.microsoft.com/office/drawing/2014/chart" uri="{C3380CC4-5D6E-409C-BE32-E72D297353CC}">
              <c16:uniqueId val="{00000001-55B2-4265-BF98-AB5DCB6E604E}"/>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-50</c:v>
                </c:pt>
                <c:pt idx="2">
                  <c:v>-50</c:v>
                </c:pt>
                <c:pt idx="3">
                  <c:v>-50</c:v>
                </c:pt>
                <c:pt idx="4">
                  <c:v>-50</c:v>
                </c:pt>
                <c:pt idx="5">
                  <c:v>-50</c:v>
                </c:pt>
                <c:pt idx="6">
                  <c:v>-50</c:v>
                </c:pt>
                <c:pt idx="7">
                  <c:v>0</c:v>
                </c:pt>
              </c:numCache>
            </c:numRef>
          </c:xVal>
          <c:yVal>
            <c:numRef>
              <c:f>Stabilito!$C$124:$C$131</c:f>
              <c:numCache>
                <c:formatCode>0</c:formatCode>
                <c:ptCount val="8"/>
                <c:pt idx="0">
                  <c:v>-250</c:v>
                </c:pt>
                <c:pt idx="1">
                  <c:v>-250</c:v>
                </c:pt>
                <c:pt idx="2">
                  <c:v>-250</c:v>
                </c:pt>
                <c:pt idx="3">
                  <c:v>-250</c:v>
                </c:pt>
                <c:pt idx="4">
                  <c:v>-250</c:v>
                </c:pt>
                <c:pt idx="5">
                  <c:v>-250</c:v>
                </c:pt>
                <c:pt idx="6">
                  <c:v>-1800</c:v>
                </c:pt>
                <c:pt idx="7">
                  <c:v>-1800</c:v>
                </c:pt>
              </c:numCache>
            </c:numRef>
          </c:yVal>
          <c:smooth val="0"/>
          <c:extLst>
            <c:ext xmlns:c16="http://schemas.microsoft.com/office/drawing/2014/chart" uri="{C3380CC4-5D6E-409C-BE32-E72D297353CC}">
              <c16:uniqueId val="{00000002-55B2-4265-BF98-AB5DCB6E604E}"/>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-50</c:v>
                </c:pt>
                <c:pt idx="1">
                  <c:v>-210</c:v>
                </c:pt>
                <c:pt idx="2">
                  <c:v>-210</c:v>
                </c:pt>
                <c:pt idx="3">
                  <c:v>-50</c:v>
                </c:pt>
                <c:pt idx="4">
                  <c:v>-50</c:v>
                </c:pt>
              </c:numCache>
            </c:numRef>
          </c:xVal>
          <c:yVal>
            <c:numRef>
              <c:f>Stabilito!$C$132:$C$136</c:f>
              <c:numCache>
                <c:formatCode>0</c:formatCode>
                <c:ptCount val="5"/>
                <c:pt idx="0">
                  <c:v>-1550</c:v>
                </c:pt>
                <c:pt idx="1">
                  <c:v>-1750</c:v>
                </c:pt>
                <c:pt idx="2">
                  <c:v>-1870</c:v>
                </c:pt>
                <c:pt idx="3">
                  <c:v>-1800</c:v>
                </c:pt>
                <c:pt idx="4">
                  <c:v>-1550</c:v>
                </c:pt>
              </c:numCache>
            </c:numRef>
          </c:yVal>
          <c:smooth val="0"/>
          <c:extLst>
            <c:ext xmlns:c16="http://schemas.microsoft.com/office/drawing/2014/chart" uri="{C3380CC4-5D6E-409C-BE32-E72D297353CC}">
              <c16:uniqueId val="{00000003-55B2-4265-BF98-AB5DCB6E604E}"/>
            </c:ext>
          </c:extLst>
        </c:ser>
        <c:ser>
          <c:idx val="4"/>
          <c:order val="4"/>
          <c:tx>
            <c:strRef>
              <c:f>Stabilito!$B$12</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-1257.0239788985693</c:v>
                </c:pt>
                <c:pt idx="1">
                  <c:v>-1204.2081218274111</c:v>
                </c:pt>
              </c:numCache>
            </c:numRef>
          </c:yVal>
          <c:smooth val="0"/>
          <c:extLst>
            <c:ext xmlns:c16="http://schemas.microsoft.com/office/drawing/2014/chart" uri="{C3380CC4-5D6E-409C-BE32-E72D297353CC}">
              <c16:uniqueId val="{00000005-55B2-4265-BF98-AB5DCB6E604E}"/>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148.02052364697087</c:v>
                </c:pt>
                <c:pt idx="2">
                  <c:v>148.02052364697087</c:v>
                </c:pt>
                <c:pt idx="3">
                  <c:v>0</c:v>
                </c:pt>
              </c:numCache>
            </c:numRef>
          </c:xVal>
          <c:yVal>
            <c:numRef>
              <c:f>Stabilito!$C$151:$C$154</c:f>
              <c:numCache>
                <c:formatCode>0</c:formatCode>
                <c:ptCount val="4"/>
                <c:pt idx="0">
                  <c:v>-1545.0398991779564</c:v>
                </c:pt>
                <c:pt idx="1">
                  <c:v>-1545.0398991779564</c:v>
                </c:pt>
                <c:pt idx="2">
                  <c:v>-1545.0398991779564</c:v>
                </c:pt>
                <c:pt idx="3">
                  <c:v>-1545.0398991779564</c:v>
                </c:pt>
              </c:numCache>
            </c:numRef>
          </c:yVal>
          <c:smooth val="0"/>
          <c:extLst>
            <c:ext xmlns:c16="http://schemas.microsoft.com/office/drawing/2014/chart" uri="{C3380CC4-5D6E-409C-BE32-E72D297353CC}">
              <c16:uniqueId val="{00000007-55B2-4265-BF98-AB5DCB6E604E}"/>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55B2-4265-BF98-AB5DCB6E604E}"/>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55B2-4265-BF98-AB5DCB6E604E}"/>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55B2-4265-BF98-AB5DCB6E604E}"/>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55B2-4265-BF98-AB5DCB6E604E}"/>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600</c:v>
                </c:pt>
                <c:pt idx="1">
                  <c:v>-600</c:v>
                </c:pt>
              </c:numCache>
            </c:numRef>
          </c:xVal>
          <c:yVal>
            <c:numRef>
              <c:f>Stabilito!$C$168:$C$169</c:f>
              <c:numCache>
                <c:formatCode>0</c:formatCode>
                <c:ptCount val="2"/>
                <c:pt idx="0">
                  <c:v>-1888.7</c:v>
                </c:pt>
                <c:pt idx="1">
                  <c:v>-1888.7</c:v>
                </c:pt>
              </c:numCache>
            </c:numRef>
          </c:yVal>
          <c:smooth val="0"/>
          <c:extLst>
            <c:ext xmlns:c16="http://schemas.microsoft.com/office/drawing/2014/chart" uri="{C3380CC4-5D6E-409C-BE32-E72D297353CC}">
              <c16:uniqueId val="{0000000C-55B2-4265-BF98-AB5DCB6E604E}"/>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-37.5</c:v>
                </c:pt>
                <c:pt idx="1">
                  <c:v>37.5</c:v>
                </c:pt>
                <c:pt idx="2">
                  <c:v>37.5</c:v>
                </c:pt>
                <c:pt idx="3">
                  <c:v>-37.5</c:v>
                </c:pt>
                <c:pt idx="4">
                  <c:v>-37.5</c:v>
                </c:pt>
              </c:numCache>
            </c:numRef>
          </c:xVal>
          <c:yVal>
            <c:numRef>
              <c:f>Stabilito!$C$170:$C$174</c:f>
              <c:numCache>
                <c:formatCode>0</c:formatCode>
                <c:ptCount val="5"/>
                <c:pt idx="0">
                  <c:v>-1314</c:v>
                </c:pt>
                <c:pt idx="1">
                  <c:v>-1314</c:v>
                </c:pt>
                <c:pt idx="2">
                  <c:v>-1800</c:v>
                </c:pt>
                <c:pt idx="3">
                  <c:v>-1800</c:v>
                </c:pt>
                <c:pt idx="4">
                  <c:v>-1314</c:v>
                </c:pt>
              </c:numCache>
            </c:numRef>
          </c:yVal>
          <c:smooth val="0"/>
          <c:extLst>
            <c:ext xmlns:c16="http://schemas.microsoft.com/office/drawing/2014/chart" uri="{C3380CC4-5D6E-409C-BE32-E72D297353CC}">
              <c16:uniqueId val="{0000000D-55B2-4265-BF98-AB5DCB6E604E}"/>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10</c:v>
                </c:pt>
                <c:pt idx="2">
                  <c:v>25</c:v>
                </c:pt>
                <c:pt idx="3">
                  <c:v>37.5</c:v>
                </c:pt>
                <c:pt idx="4">
                  <c:v>45</c:v>
                </c:pt>
                <c:pt idx="5">
                  <c:v>50</c:v>
                </c:pt>
              </c:numCache>
            </c:numRef>
          </c:xVal>
          <c:yVal>
            <c:numRef>
              <c:f>Stabilito!$C$175:$C$180</c:f>
              <c:numCache>
                <c:formatCode>0</c:formatCode>
                <c:ptCount val="6"/>
                <c:pt idx="0">
                  <c:v>0</c:v>
                </c:pt>
                <c:pt idx="1">
                  <c:v>-25</c:v>
                </c:pt>
                <c:pt idx="2">
                  <c:v>-62.5</c:v>
                </c:pt>
                <c:pt idx="3">
                  <c:v>-125</c:v>
                </c:pt>
                <c:pt idx="4">
                  <c:v>-187.5</c:v>
                </c:pt>
                <c:pt idx="5">
                  <c:v>-250</c:v>
                </c:pt>
              </c:numCache>
            </c:numRef>
          </c:yVal>
          <c:smooth val="0"/>
          <c:extLst>
            <c:ext xmlns:c16="http://schemas.microsoft.com/office/drawing/2014/chart" uri="{C3380CC4-5D6E-409C-BE32-E72D297353CC}">
              <c16:uniqueId val="{0000000E-55B2-4265-BF98-AB5DCB6E604E}"/>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-10</c:v>
                </c:pt>
                <c:pt idx="2">
                  <c:v>-25</c:v>
                </c:pt>
                <c:pt idx="3">
                  <c:v>-37.5</c:v>
                </c:pt>
                <c:pt idx="4">
                  <c:v>-45</c:v>
                </c:pt>
                <c:pt idx="5">
                  <c:v>-50</c:v>
                </c:pt>
              </c:numCache>
            </c:numRef>
          </c:xVal>
          <c:yVal>
            <c:numRef>
              <c:f>Stabilito!$C$175:$C$180</c:f>
              <c:numCache>
                <c:formatCode>0</c:formatCode>
                <c:ptCount val="6"/>
                <c:pt idx="0">
                  <c:v>0</c:v>
                </c:pt>
                <c:pt idx="1">
                  <c:v>-25</c:v>
                </c:pt>
                <c:pt idx="2">
                  <c:v>-62.5</c:v>
                </c:pt>
                <c:pt idx="3">
                  <c:v>-125</c:v>
                </c:pt>
                <c:pt idx="4">
                  <c:v>-187.5</c:v>
                </c:pt>
                <c:pt idx="5">
                  <c:v>-250</c:v>
                </c:pt>
              </c:numCache>
            </c:numRef>
          </c:yVal>
          <c:smooth val="0"/>
          <c:extLst>
            <c:ext xmlns:c16="http://schemas.microsoft.com/office/drawing/2014/chart" uri="{C3380CC4-5D6E-409C-BE32-E72D297353CC}">
              <c16:uniqueId val="{0000000F-55B2-4265-BF98-AB5DCB6E604E}"/>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-210</c:v>
                </c:pt>
                <c:pt idx="1">
                  <c:v>-130</c:v>
                </c:pt>
                <c:pt idx="2">
                  <c:v>-50</c:v>
                </c:pt>
              </c:numCache>
            </c:numRef>
          </c:xVal>
          <c:yVal>
            <c:numRef>
              <c:f>Stabilito!$C$137:$C$139</c:f>
              <c:numCache>
                <c:formatCode>0</c:formatCode>
                <c:ptCount val="3"/>
                <c:pt idx="0">
                  <c:v>-1930</c:v>
                </c:pt>
                <c:pt idx="1">
                  <c:v>-1930</c:v>
                </c:pt>
                <c:pt idx="2">
                  <c:v>-1930</c:v>
                </c:pt>
              </c:numCache>
            </c:numRef>
          </c:yVal>
          <c:smooth val="0"/>
          <c:extLst>
            <c:ext xmlns:c16="http://schemas.microsoft.com/office/drawing/2014/chart" uri="{C3380CC4-5D6E-409C-BE32-E72D297353CC}">
              <c16:uniqueId val="{00000011-55B2-4265-BF98-AB5DCB6E604E}"/>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-270</c:v>
                </c:pt>
                <c:pt idx="1">
                  <c:v>-270</c:v>
                </c:pt>
                <c:pt idx="2">
                  <c:v>-270</c:v>
                </c:pt>
              </c:numCache>
            </c:numRef>
          </c:xVal>
          <c:yVal>
            <c:numRef>
              <c:f>Stabilito!$C$143:$C$145</c:f>
              <c:numCache>
                <c:formatCode>0</c:formatCode>
                <c:ptCount val="3"/>
                <c:pt idx="0">
                  <c:v>-1550</c:v>
                </c:pt>
                <c:pt idx="1">
                  <c:v>-1650</c:v>
                </c:pt>
                <c:pt idx="2">
                  <c:v>-1750</c:v>
                </c:pt>
              </c:numCache>
            </c:numRef>
          </c:yVal>
          <c:smooth val="0"/>
          <c:extLst>
            <c:ext xmlns:c16="http://schemas.microsoft.com/office/drawing/2014/chart" uri="{C3380CC4-5D6E-409C-BE32-E72D297353CC}">
              <c16:uniqueId val="{00000013-55B2-4265-BF98-AB5DCB6E604E}"/>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-300</c:v>
                </c:pt>
                <c:pt idx="1">
                  <c:v>-300</c:v>
                </c:pt>
                <c:pt idx="2">
                  <c:v>-300</c:v>
                </c:pt>
              </c:numCache>
            </c:numRef>
          </c:xVal>
          <c:yVal>
            <c:numRef>
              <c:f>Stabilito!$C$146:$C$148</c:f>
              <c:numCache>
                <c:formatCode>0</c:formatCode>
                <c:ptCount val="3"/>
                <c:pt idx="0">
                  <c:v>-1750</c:v>
                </c:pt>
                <c:pt idx="1">
                  <c:v>-1810</c:v>
                </c:pt>
                <c:pt idx="2">
                  <c:v>-1870</c:v>
                </c:pt>
              </c:numCache>
            </c:numRef>
          </c:yVal>
          <c:smooth val="0"/>
          <c:extLst>
            <c:ext xmlns:c16="http://schemas.microsoft.com/office/drawing/2014/chart" uri="{C3380CC4-5D6E-409C-BE32-E72D297353CC}">
              <c16:uniqueId val="{00000015-55B2-4265-BF98-AB5DCB6E604E}"/>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300</c:v>
                </c:pt>
                <c:pt idx="1">
                  <c:v>300</c:v>
                </c:pt>
                <c:pt idx="2">
                  <c:v>300</c:v>
                </c:pt>
              </c:numCache>
            </c:numRef>
          </c:xVal>
          <c:yVal>
            <c:numRef>
              <c:f>Stabilito!$C$140:$C$142</c:f>
              <c:numCache>
                <c:formatCode>0</c:formatCode>
                <c:ptCount val="3"/>
                <c:pt idx="0">
                  <c:v>-1550</c:v>
                </c:pt>
                <c:pt idx="1">
                  <c:v>-1675</c:v>
                </c:pt>
                <c:pt idx="2">
                  <c:v>-1800</c:v>
                </c:pt>
              </c:numCache>
            </c:numRef>
          </c:yVal>
          <c:smooth val="0"/>
          <c:extLst>
            <c:ext xmlns:c16="http://schemas.microsoft.com/office/drawing/2014/chart" uri="{C3380CC4-5D6E-409C-BE32-E72D297353CC}">
              <c16:uniqueId val="{00000017-55B2-4265-BF98-AB5DCB6E604E}"/>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-300</c:v>
                </c:pt>
                <c:pt idx="1">
                  <c:v>-300</c:v>
                </c:pt>
                <c:pt idx="2">
                  <c:v>-300</c:v>
                </c:pt>
              </c:numCache>
            </c:numRef>
          </c:xVal>
          <c:yVal>
            <c:numRef>
              <c:f>Stabilito!$C$155:$C$157</c:f>
              <c:numCache>
                <c:formatCode>0</c:formatCode>
                <c:ptCount val="3"/>
                <c:pt idx="0">
                  <c:v>-1230.6160503629903</c:v>
                </c:pt>
                <c:pt idx="1">
                  <c:v>-1387.8279747704732</c:v>
                </c:pt>
                <c:pt idx="2">
                  <c:v>-1545.0398991779564</c:v>
                </c:pt>
              </c:numCache>
            </c:numRef>
          </c:yVal>
          <c:smooth val="0"/>
          <c:extLst>
            <c:ext xmlns:c16="http://schemas.microsoft.com/office/drawing/2014/chart" uri="{C3380CC4-5D6E-409C-BE32-E72D297353CC}">
              <c16:uniqueId val="{00000019-55B2-4265-BF98-AB5DCB6E604E}"/>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Abaco!$B$75</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Abaco!$B$41</c:f>
              <c:strCache>
                <c:ptCount val="1"/>
                <c:pt idx="0">
                  <c:v>Ø = 75 mm</c:v>
                </c:pt>
              </c:strCache>
            </c:strRef>
          </c:tx>
          <c:xVal>
            <c:numRef>
              <c:f>Abaco!$D$41:$D$49</c:f>
              <c:numCache>
                <c:formatCode>General\ "kg"</c:formatCode>
                <c:ptCount val="9"/>
                <c:pt idx="0">
                  <c:v>3.5110000000000001</c:v>
                </c:pt>
                <c:pt idx="1">
                  <c:v>5.7610000000000001</c:v>
                </c:pt>
                <c:pt idx="2">
                  <c:v>8.0109999999999992</c:v>
                </c:pt>
                <c:pt idx="3">
                  <c:v>10.260999999999999</c:v>
                </c:pt>
                <c:pt idx="4">
                  <c:v>12.510999999999999</c:v>
                </c:pt>
                <c:pt idx="5">
                  <c:v>14.760999999999999</c:v>
                </c:pt>
                <c:pt idx="6">
                  <c:v>17.010999999999999</c:v>
                </c:pt>
                <c:pt idx="7">
                  <c:v>19.260999999999999</c:v>
                </c:pt>
                <c:pt idx="8">
                  <c:v>21.510999999999999</c:v>
                </c:pt>
              </c:numCache>
            </c:numRef>
          </c:xVal>
          <c:yVal>
            <c:numRef>
              <c:f>Abaco!$K$41:$K$49</c:f>
              <c:numCache>
                <c:formatCode>General" m/s"</c:formatCode>
                <c:ptCount val="9"/>
                <c:pt idx="0">
                  <c:v>720.40587937186433</c:v>
                </c:pt>
                <c:pt idx="1">
                  <c:v>560.7097771310091</c:v>
                </c:pt>
                <c:pt idx="2">
                  <c:v>423.34259777821597</c:v>
                </c:pt>
                <c:pt idx="3">
                  <c:v>329.04779882967028</c:v>
                </c:pt>
                <c:pt idx="4">
                  <c:v>263.92478492920338</c:v>
                </c:pt>
                <c:pt idx="5">
                  <c:v>217.15875383438348</c:v>
                </c:pt>
                <c:pt idx="6">
                  <c:v>182.24954507147743</c:v>
                </c:pt>
                <c:pt idx="7">
                  <c:v>155.3158360079253</c:v>
                </c:pt>
                <c:pt idx="8">
                  <c:v>133.95910676229286</c:v>
                </c:pt>
              </c:numCache>
            </c:numRef>
          </c:yVal>
          <c:smooth val="0"/>
          <c:extLst>
            <c:ext xmlns:c16="http://schemas.microsoft.com/office/drawing/2014/chart" uri="{C3380CC4-5D6E-409C-BE32-E72D297353CC}">
              <c16:uniqueId val="{00000000-9914-49FC-B9B5-8796295CAF59}"/>
            </c:ext>
          </c:extLst>
        </c:ser>
        <c:ser>
          <c:idx val="1"/>
          <c:order val="1"/>
          <c:tx>
            <c:strRef>
              <c:f>Abaco!$B$50</c:f>
              <c:strCache>
                <c:ptCount val="1"/>
                <c:pt idx="0">
                  <c:v>Ø = 100 mm</c:v>
                </c:pt>
              </c:strCache>
            </c:strRef>
          </c:tx>
          <c:xVal>
            <c:numRef>
              <c:f>Abaco!$D$50:$D$58</c:f>
              <c:numCache>
                <c:formatCode>General\ "kg"</c:formatCode>
                <c:ptCount val="9"/>
                <c:pt idx="0">
                  <c:v>3.5110000000000001</c:v>
                </c:pt>
                <c:pt idx="1">
                  <c:v>5.7610000000000001</c:v>
                </c:pt>
                <c:pt idx="2">
                  <c:v>8.0109999999999992</c:v>
                </c:pt>
                <c:pt idx="3">
                  <c:v>10.260999999999999</c:v>
                </c:pt>
                <c:pt idx="4">
                  <c:v>12.510999999999999</c:v>
                </c:pt>
                <c:pt idx="5">
                  <c:v>14.760999999999999</c:v>
                </c:pt>
                <c:pt idx="6">
                  <c:v>17.010999999999999</c:v>
                </c:pt>
                <c:pt idx="7">
                  <c:v>19.260999999999999</c:v>
                </c:pt>
                <c:pt idx="8">
                  <c:v>21.510999999999999</c:v>
                </c:pt>
              </c:numCache>
            </c:numRef>
          </c:xVal>
          <c:yVal>
            <c:numRef>
              <c:f>Abaco!$K$50:$K$58</c:f>
              <c:numCache>
                <c:formatCode>General" m/s"</c:formatCode>
                <c:ptCount val="9"/>
                <c:pt idx="0">
                  <c:v>559.24790560645113</c:v>
                </c:pt>
                <c:pt idx="1">
                  <c:v>482.3190991620632</c:v>
                </c:pt>
                <c:pt idx="2">
                  <c:v>388.02669115452977</c:v>
                </c:pt>
                <c:pt idx="3">
                  <c:v>311.75641212281823</c:v>
                </c:pt>
                <c:pt idx="4">
                  <c:v>254.65216176602328</c:v>
                </c:pt>
                <c:pt idx="5">
                  <c:v>211.79903380490174</c:v>
                </c:pt>
                <c:pt idx="6">
                  <c:v>178.96333741574162</c:v>
                </c:pt>
                <c:pt idx="7">
                  <c:v>153.20546708135782</c:v>
                </c:pt>
                <c:pt idx="8">
                  <c:v>132.55320290941518</c:v>
                </c:pt>
              </c:numCache>
            </c:numRef>
          </c:yVal>
          <c:smooth val="0"/>
          <c:extLst>
            <c:ext xmlns:c16="http://schemas.microsoft.com/office/drawing/2014/chart" uri="{C3380CC4-5D6E-409C-BE32-E72D297353CC}">
              <c16:uniqueId val="{00000001-9914-49FC-B9B5-8796295CAF59}"/>
            </c:ext>
          </c:extLst>
        </c:ser>
        <c:ser>
          <c:idx val="2"/>
          <c:order val="2"/>
          <c:tx>
            <c:strRef>
              <c:f>Abaco!$B$59</c:f>
              <c:strCache>
                <c:ptCount val="1"/>
                <c:pt idx="0">
                  <c:v>Ø = 150 mm</c:v>
                </c:pt>
              </c:strCache>
            </c:strRef>
          </c:tx>
          <c:xVal>
            <c:numRef>
              <c:f>Abaco!$D$59:$D$67</c:f>
              <c:numCache>
                <c:formatCode>General\ "kg"</c:formatCode>
                <c:ptCount val="9"/>
                <c:pt idx="0">
                  <c:v>3.5110000000000001</c:v>
                </c:pt>
                <c:pt idx="1">
                  <c:v>5.7610000000000001</c:v>
                </c:pt>
                <c:pt idx="2">
                  <c:v>8.0109999999999992</c:v>
                </c:pt>
                <c:pt idx="3">
                  <c:v>10.260999999999999</c:v>
                </c:pt>
                <c:pt idx="4">
                  <c:v>12.510999999999999</c:v>
                </c:pt>
                <c:pt idx="5">
                  <c:v>14.760999999999999</c:v>
                </c:pt>
                <c:pt idx="6">
                  <c:v>17.010999999999999</c:v>
                </c:pt>
                <c:pt idx="7">
                  <c:v>19.260999999999999</c:v>
                </c:pt>
                <c:pt idx="8">
                  <c:v>21.510999999999999</c:v>
                </c:pt>
              </c:numCache>
            </c:numRef>
          </c:xVal>
          <c:yVal>
            <c:numRef>
              <c:f>Abaco!$K$59:$K$67</c:f>
              <c:numCache>
                <c:formatCode>General" m/s"</c:formatCode>
                <c:ptCount val="9"/>
                <c:pt idx="0">
                  <c:v>377.65613998433196</c:v>
                </c:pt>
                <c:pt idx="1">
                  <c:v>358.06528738233169</c:v>
                </c:pt>
                <c:pt idx="2">
                  <c:v>317.73589525338195</c:v>
                </c:pt>
                <c:pt idx="3">
                  <c:v>272.60207236069988</c:v>
                </c:pt>
                <c:pt idx="4">
                  <c:v>232.02132318162123</c:v>
                </c:pt>
                <c:pt idx="5">
                  <c:v>198.10358331307413</c:v>
                </c:pt>
                <c:pt idx="6">
                  <c:v>170.31389095668831</c:v>
                </c:pt>
                <c:pt idx="7">
                  <c:v>147.53881446045619</c:v>
                </c:pt>
                <c:pt idx="8">
                  <c:v>128.72494342832863</c:v>
                </c:pt>
              </c:numCache>
            </c:numRef>
          </c:yVal>
          <c:smooth val="0"/>
          <c:extLst>
            <c:ext xmlns:c16="http://schemas.microsoft.com/office/drawing/2014/chart" uri="{C3380CC4-5D6E-409C-BE32-E72D297353CC}">
              <c16:uniqueId val="{00000002-9914-49FC-B9B5-8796295CAF59}"/>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Abaco!$B$73</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Abaco!$B$74</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Abaco!$B$41</c:f>
              <c:strCache>
                <c:ptCount val="1"/>
                <c:pt idx="0">
                  <c:v>Ø = 75 mm</c:v>
                </c:pt>
              </c:strCache>
            </c:strRef>
          </c:tx>
          <c:xVal>
            <c:numRef>
              <c:f>Abaco!$D$41:$D$49</c:f>
              <c:numCache>
                <c:formatCode>General\ "kg"</c:formatCode>
                <c:ptCount val="9"/>
                <c:pt idx="0">
                  <c:v>3.5110000000000001</c:v>
                </c:pt>
                <c:pt idx="1">
                  <c:v>5.7610000000000001</c:v>
                </c:pt>
                <c:pt idx="2">
                  <c:v>8.0109999999999992</c:v>
                </c:pt>
                <c:pt idx="3">
                  <c:v>10.260999999999999</c:v>
                </c:pt>
                <c:pt idx="4">
                  <c:v>12.510999999999999</c:v>
                </c:pt>
                <c:pt idx="5">
                  <c:v>14.760999999999999</c:v>
                </c:pt>
                <c:pt idx="6">
                  <c:v>17.010999999999999</c:v>
                </c:pt>
                <c:pt idx="7">
                  <c:v>19.260999999999999</c:v>
                </c:pt>
                <c:pt idx="8">
                  <c:v>21.510999999999999</c:v>
                </c:pt>
              </c:numCache>
            </c:numRef>
          </c:xVal>
          <c:yVal>
            <c:numRef>
              <c:f>Abaco!$L$41:$L$49</c:f>
              <c:numCache>
                <c:formatCode>General" m"</c:formatCode>
                <c:ptCount val="9"/>
                <c:pt idx="0">
                  <c:v>4565.8665325686015</c:v>
                </c:pt>
                <c:pt idx="1">
                  <c:v>5076.5387702575554</c:v>
                </c:pt>
                <c:pt idx="2">
                  <c:v>4719.2449225298515</c:v>
                </c:pt>
                <c:pt idx="3">
                  <c:v>3969.2041605594532</c:v>
                </c:pt>
                <c:pt idx="4">
                  <c:v>3162.4219430915655</c:v>
                </c:pt>
                <c:pt idx="5">
                  <c:v>2462.5927775537448</c:v>
                </c:pt>
                <c:pt idx="6">
                  <c:v>1910.5964751027607</c:v>
                </c:pt>
                <c:pt idx="7">
                  <c:v>1491.7336782961379</c:v>
                </c:pt>
                <c:pt idx="8">
                  <c:v>1177.0520471281595</c:v>
                </c:pt>
              </c:numCache>
            </c:numRef>
          </c:yVal>
          <c:smooth val="0"/>
          <c:extLst>
            <c:ext xmlns:c16="http://schemas.microsoft.com/office/drawing/2014/chart" uri="{C3380CC4-5D6E-409C-BE32-E72D297353CC}">
              <c16:uniqueId val="{00000000-7A95-4EBD-989B-939CDF0A10EC}"/>
            </c:ext>
          </c:extLst>
        </c:ser>
        <c:ser>
          <c:idx val="1"/>
          <c:order val="1"/>
          <c:tx>
            <c:strRef>
              <c:f>Abaco!$B$50</c:f>
              <c:strCache>
                <c:ptCount val="1"/>
                <c:pt idx="0">
                  <c:v>Ø = 100 mm</c:v>
                </c:pt>
              </c:strCache>
            </c:strRef>
          </c:tx>
          <c:xVal>
            <c:numRef>
              <c:f>Abaco!$D$50:$D$58</c:f>
              <c:numCache>
                <c:formatCode>General\ "kg"</c:formatCode>
                <c:ptCount val="9"/>
                <c:pt idx="0">
                  <c:v>3.5110000000000001</c:v>
                </c:pt>
                <c:pt idx="1">
                  <c:v>5.7610000000000001</c:v>
                </c:pt>
                <c:pt idx="2">
                  <c:v>8.0109999999999992</c:v>
                </c:pt>
                <c:pt idx="3">
                  <c:v>10.260999999999999</c:v>
                </c:pt>
                <c:pt idx="4">
                  <c:v>12.510999999999999</c:v>
                </c:pt>
                <c:pt idx="5">
                  <c:v>14.760999999999999</c:v>
                </c:pt>
                <c:pt idx="6">
                  <c:v>17.010999999999999</c:v>
                </c:pt>
                <c:pt idx="7">
                  <c:v>19.260999999999999</c:v>
                </c:pt>
                <c:pt idx="8">
                  <c:v>21.510999999999999</c:v>
                </c:pt>
              </c:numCache>
            </c:numRef>
          </c:xVal>
          <c:yVal>
            <c:numRef>
              <c:f>Abaco!$L$50:$L$58</c:f>
              <c:numCache>
                <c:formatCode>General" m"</c:formatCode>
                <c:ptCount val="9"/>
                <c:pt idx="0">
                  <c:v>3236.6715266317624</c:v>
                </c:pt>
                <c:pt idx="1">
                  <c:v>3592.3759159969818</c:v>
                </c:pt>
                <c:pt idx="2">
                  <c:v>3494.3308116828571</c:v>
                </c:pt>
                <c:pt idx="3">
                  <c:v>3124.0316577847925</c:v>
                </c:pt>
                <c:pt idx="4">
                  <c:v>2642.7976398854598</c:v>
                </c:pt>
                <c:pt idx="5">
                  <c:v>2163.2660797690196</c:v>
                </c:pt>
                <c:pt idx="6">
                  <c:v>1742.6825012163283</c:v>
                </c:pt>
                <c:pt idx="7">
                  <c:v>1397.6369175412024</c:v>
                </c:pt>
                <c:pt idx="8">
                  <c:v>1123.6182338808314</c:v>
                </c:pt>
              </c:numCache>
            </c:numRef>
          </c:yVal>
          <c:smooth val="0"/>
          <c:extLst>
            <c:ext xmlns:c16="http://schemas.microsoft.com/office/drawing/2014/chart" uri="{C3380CC4-5D6E-409C-BE32-E72D297353CC}">
              <c16:uniqueId val="{00000001-7A95-4EBD-989B-939CDF0A10EC}"/>
            </c:ext>
          </c:extLst>
        </c:ser>
        <c:ser>
          <c:idx val="2"/>
          <c:order val="2"/>
          <c:tx>
            <c:strRef>
              <c:f>Abaco!$B$59</c:f>
              <c:strCache>
                <c:ptCount val="1"/>
                <c:pt idx="0">
                  <c:v>Ø = 150 mm</c:v>
                </c:pt>
              </c:strCache>
            </c:strRef>
          </c:tx>
          <c:xVal>
            <c:numRef>
              <c:f>Abaco!$D$59:$D$67</c:f>
              <c:numCache>
                <c:formatCode>General\ "kg"</c:formatCode>
                <c:ptCount val="9"/>
                <c:pt idx="0">
                  <c:v>3.5110000000000001</c:v>
                </c:pt>
                <c:pt idx="1">
                  <c:v>5.7610000000000001</c:v>
                </c:pt>
                <c:pt idx="2">
                  <c:v>8.0109999999999992</c:v>
                </c:pt>
                <c:pt idx="3">
                  <c:v>10.260999999999999</c:v>
                </c:pt>
                <c:pt idx="4">
                  <c:v>12.510999999999999</c:v>
                </c:pt>
                <c:pt idx="5">
                  <c:v>14.760999999999999</c:v>
                </c:pt>
                <c:pt idx="6">
                  <c:v>17.010999999999999</c:v>
                </c:pt>
                <c:pt idx="7">
                  <c:v>19.260999999999999</c:v>
                </c:pt>
                <c:pt idx="8">
                  <c:v>21.510999999999999</c:v>
                </c:pt>
              </c:numCache>
            </c:numRef>
          </c:xVal>
          <c:yVal>
            <c:numRef>
              <c:f>Abaco!$L$59:$L$67</c:f>
              <c:numCache>
                <c:formatCode>General" m"</c:formatCode>
                <c:ptCount val="9"/>
                <c:pt idx="0">
                  <c:v>2029.1215603003384</c:v>
                </c:pt>
                <c:pt idx="1">
                  <c:v>2205.0880552029721</c:v>
                </c:pt>
                <c:pt idx="2">
                  <c:v>2213.1952591867021</c:v>
                </c:pt>
                <c:pt idx="3">
                  <c:v>2097.8572581492258</c:v>
                </c:pt>
                <c:pt idx="4">
                  <c:v>1901.857161873264</c:v>
                </c:pt>
                <c:pt idx="5">
                  <c:v>1666.7144725669968</c:v>
                </c:pt>
                <c:pt idx="6">
                  <c:v>1425.7818532964759</c:v>
                </c:pt>
                <c:pt idx="7">
                  <c:v>1200.8440342064132</c:v>
                </c:pt>
                <c:pt idx="8">
                  <c:v>1002.7576751094207</c:v>
                </c:pt>
              </c:numCache>
            </c:numRef>
          </c:yVal>
          <c:smooth val="0"/>
          <c:extLst>
            <c:ext xmlns:c16="http://schemas.microsoft.com/office/drawing/2014/chart" uri="{C3380CC4-5D6E-409C-BE32-E72D297353CC}">
              <c16:uniqueId val="{00000002-7A95-4EBD-989B-939CDF0A10EC}"/>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Abaco!$B$73</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Abaco!$B$76</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Abaco!$B$41</c:f>
              <c:strCache>
                <c:ptCount val="1"/>
                <c:pt idx="0">
                  <c:v>Ø = 75 mm</c:v>
                </c:pt>
              </c:strCache>
            </c:strRef>
          </c:tx>
          <c:xVal>
            <c:numRef>
              <c:f>Abaco!$D$41:$D$49</c:f>
              <c:numCache>
                <c:formatCode>General\ "kg"</c:formatCode>
                <c:ptCount val="9"/>
                <c:pt idx="0">
                  <c:v>3.5110000000000001</c:v>
                </c:pt>
                <c:pt idx="1">
                  <c:v>5.7610000000000001</c:v>
                </c:pt>
                <c:pt idx="2">
                  <c:v>8.0109999999999992</c:v>
                </c:pt>
                <c:pt idx="3">
                  <c:v>10.260999999999999</c:v>
                </c:pt>
                <c:pt idx="4">
                  <c:v>12.510999999999999</c:v>
                </c:pt>
                <c:pt idx="5">
                  <c:v>14.760999999999999</c:v>
                </c:pt>
                <c:pt idx="6">
                  <c:v>17.010999999999999</c:v>
                </c:pt>
                <c:pt idx="7">
                  <c:v>19.260999999999999</c:v>
                </c:pt>
                <c:pt idx="8">
                  <c:v>21.510999999999999</c:v>
                </c:pt>
              </c:numCache>
            </c:numRef>
          </c:xVal>
          <c:yVal>
            <c:numRef>
              <c:f>Abaco!$M$41:$M$49</c:f>
              <c:numCache>
                <c:formatCode>General" s"</c:formatCode>
                <c:ptCount val="9"/>
                <c:pt idx="0">
                  <c:v>20.462214926687707</c:v>
                </c:pt>
                <c:pt idx="1">
                  <c:v>26.585008287580713</c:v>
                </c:pt>
                <c:pt idx="2">
                  <c:v>28.517826672840126</c:v>
                </c:pt>
                <c:pt idx="3">
                  <c:v>27.999762962672396</c:v>
                </c:pt>
                <c:pt idx="4">
                  <c:v>26.193884204168011</c:v>
                </c:pt>
                <c:pt idx="5">
                  <c:v>23.927094298470699</c:v>
                </c:pt>
                <c:pt idx="6">
                  <c:v>21.664573420917428</c:v>
                </c:pt>
                <c:pt idx="7">
                  <c:v>19.604741093223488</c:v>
                </c:pt>
                <c:pt idx="8">
                  <c:v>17.801530249945937</c:v>
                </c:pt>
              </c:numCache>
            </c:numRef>
          </c:yVal>
          <c:smooth val="0"/>
          <c:extLst>
            <c:ext xmlns:c16="http://schemas.microsoft.com/office/drawing/2014/chart" uri="{C3380CC4-5D6E-409C-BE32-E72D297353CC}">
              <c16:uniqueId val="{00000000-87A6-4A45-A9F0-37CCA993CBDF}"/>
            </c:ext>
          </c:extLst>
        </c:ser>
        <c:ser>
          <c:idx val="1"/>
          <c:order val="1"/>
          <c:tx>
            <c:strRef>
              <c:f>Abaco!$B$50</c:f>
              <c:strCache>
                <c:ptCount val="1"/>
                <c:pt idx="0">
                  <c:v>Ø = 100 mm</c:v>
                </c:pt>
              </c:strCache>
            </c:strRef>
          </c:tx>
          <c:xVal>
            <c:numRef>
              <c:f>Abaco!$D$50:$D$58</c:f>
              <c:numCache>
                <c:formatCode>General\ "kg"</c:formatCode>
                <c:ptCount val="9"/>
                <c:pt idx="0">
                  <c:v>3.5110000000000001</c:v>
                </c:pt>
                <c:pt idx="1">
                  <c:v>5.7610000000000001</c:v>
                </c:pt>
                <c:pt idx="2">
                  <c:v>8.0109999999999992</c:v>
                </c:pt>
                <c:pt idx="3">
                  <c:v>10.260999999999999</c:v>
                </c:pt>
                <c:pt idx="4">
                  <c:v>12.510999999999999</c:v>
                </c:pt>
                <c:pt idx="5">
                  <c:v>14.760999999999999</c:v>
                </c:pt>
                <c:pt idx="6">
                  <c:v>17.010999999999999</c:v>
                </c:pt>
                <c:pt idx="7">
                  <c:v>19.260999999999999</c:v>
                </c:pt>
                <c:pt idx="8">
                  <c:v>21.510999999999999</c:v>
                </c:pt>
              </c:numCache>
            </c:numRef>
          </c:xVal>
          <c:yVal>
            <c:numRef>
              <c:f>Abaco!$M$50:$M$58</c:f>
              <c:numCache>
                <c:formatCode>General" s"</c:formatCode>
                <c:ptCount val="9"/>
                <c:pt idx="0">
                  <c:v>16.558431169977993</c:v>
                </c:pt>
                <c:pt idx="1">
                  <c:v>21.56526326933508</c:v>
                </c:pt>
                <c:pt idx="2">
                  <c:v>23.770089919362718</c:v>
                </c:pt>
                <c:pt idx="3">
                  <c:v>24.200424013210437</c:v>
                </c:pt>
                <c:pt idx="4">
                  <c:v>23.475444921913383</c:v>
                </c:pt>
                <c:pt idx="5">
                  <c:v>22.110285060786516</c:v>
                </c:pt>
                <c:pt idx="6">
                  <c:v>20.489865692091172</c:v>
                </c:pt>
                <c:pt idx="7">
                  <c:v>18.851977235615777</c:v>
                </c:pt>
                <c:pt idx="8">
                  <c:v>17.316619006472671</c:v>
                </c:pt>
              </c:numCache>
            </c:numRef>
          </c:yVal>
          <c:smooth val="0"/>
          <c:extLst>
            <c:ext xmlns:c16="http://schemas.microsoft.com/office/drawing/2014/chart" uri="{C3380CC4-5D6E-409C-BE32-E72D297353CC}">
              <c16:uniqueId val="{00000001-87A6-4A45-A9F0-37CCA993CBDF}"/>
            </c:ext>
          </c:extLst>
        </c:ser>
        <c:ser>
          <c:idx val="2"/>
          <c:order val="2"/>
          <c:tx>
            <c:strRef>
              <c:f>Abaco!$B$59</c:f>
              <c:strCache>
                <c:ptCount val="1"/>
                <c:pt idx="0">
                  <c:v>Ø = 150 mm</c:v>
                </c:pt>
              </c:strCache>
            </c:strRef>
          </c:tx>
          <c:xVal>
            <c:numRef>
              <c:f>Abaco!$D$59:$D$67</c:f>
              <c:numCache>
                <c:formatCode>General\ "kg"</c:formatCode>
                <c:ptCount val="9"/>
                <c:pt idx="0">
                  <c:v>3.5110000000000001</c:v>
                </c:pt>
                <c:pt idx="1">
                  <c:v>5.7610000000000001</c:v>
                </c:pt>
                <c:pt idx="2">
                  <c:v>8.0109999999999992</c:v>
                </c:pt>
                <c:pt idx="3">
                  <c:v>10.260999999999999</c:v>
                </c:pt>
                <c:pt idx="4">
                  <c:v>12.510999999999999</c:v>
                </c:pt>
                <c:pt idx="5">
                  <c:v>14.760999999999999</c:v>
                </c:pt>
                <c:pt idx="6">
                  <c:v>17.010999999999999</c:v>
                </c:pt>
                <c:pt idx="7">
                  <c:v>19.260999999999999</c:v>
                </c:pt>
                <c:pt idx="8">
                  <c:v>21.510999999999999</c:v>
                </c:pt>
              </c:numCache>
            </c:numRef>
          </c:xVal>
          <c:yVal>
            <c:numRef>
              <c:f>Abaco!$M$59:$M$67</c:f>
              <c:numCache>
                <c:formatCode>General" s"</c:formatCode>
                <c:ptCount val="9"/>
                <c:pt idx="0">
                  <c:v>12.609110000633915</c:v>
                </c:pt>
                <c:pt idx="1">
                  <c:v>16.151526485667659</c:v>
                </c:pt>
                <c:pt idx="2">
                  <c:v>18.123352486245629</c:v>
                </c:pt>
                <c:pt idx="3">
                  <c:v>19.084756213920421</c:v>
                </c:pt>
                <c:pt idx="4">
                  <c:v>19.281014537738152</c:v>
                </c:pt>
                <c:pt idx="5">
                  <c:v>18.91519481239207</c:v>
                </c:pt>
                <c:pt idx="6">
                  <c:v>18.176532248104415</c:v>
                </c:pt>
                <c:pt idx="7">
                  <c:v>17.228416988119385</c:v>
                </c:pt>
                <c:pt idx="8">
                  <c:v>16.195081224842362</c:v>
                </c:pt>
              </c:numCache>
            </c:numRef>
          </c:yVal>
          <c:smooth val="0"/>
          <c:extLst>
            <c:ext xmlns:c16="http://schemas.microsoft.com/office/drawing/2014/chart" uri="{C3380CC4-5D6E-409C-BE32-E72D297353CC}">
              <c16:uniqueId val="{00000002-87A6-4A45-A9F0-37CCA993CBDF}"/>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Abaco!$B$73</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Abaco!$B$78</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B31D-4594-A6FE-3479B8181EFE}"/>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B31D-4594-A6FE-3479B8181EFE}"/>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B31D-4594-A6FE-3479B8181EFE}"/>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B31D-4594-A6FE-3479B8181EFE}"/>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B31D-4594-A6FE-3479B8181EFE}"/>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B31D-4594-A6FE-3479B8181EFE}"/>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B31D-4594-A6FE-3479B8181EFE}"/>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B31D-4594-A6FE-3479B8181EFE}"/>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B31D-4594-A6FE-3479B8181EFE}"/>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B31D-4594-A6FE-3479B8181EFE}"/>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2.8801592027938705</c:v>
                </c:pt>
                <c:pt idx="1">
                  <c:v>2.8801592027938705</c:v>
                </c:pt>
                <c:pt idx="2">
                  <c:v>3.4083177735054528</c:v>
                </c:pt>
                <c:pt idx="3">
                  <c:v>3.4083177735054528</c:v>
                </c:pt>
              </c:numCache>
            </c:numRef>
          </c:xVal>
          <c:yVal>
            <c:numRef>
              <c:f>Stabilito!$C$190:$C$193</c:f>
              <c:numCache>
                <c:formatCode>0.00</c:formatCode>
                <c:ptCount val="4"/>
                <c:pt idx="0">
                  <c:v>22.203078547045632</c:v>
                </c:pt>
                <c:pt idx="1">
                  <c:v>22.203078547045632</c:v>
                </c:pt>
                <c:pt idx="2">
                  <c:v>22.203078547045632</c:v>
                </c:pt>
                <c:pt idx="3">
                  <c:v>22.203078547045632</c:v>
                </c:pt>
              </c:numCache>
            </c:numRef>
          </c:yVal>
          <c:smooth val="0"/>
          <c:extLst>
            <c:ext xmlns:c16="http://schemas.microsoft.com/office/drawing/2014/chart" uri="{C3380CC4-5D6E-409C-BE32-E72D297353CC}">
              <c16:uniqueId val="{0000000A-B31D-4594-A6FE-3479B8181EFE}"/>
            </c:ext>
          </c:extLst>
        </c:ser>
        <c:ser>
          <c:idx val="11"/>
          <c:order val="5"/>
          <c:tx>
            <c:v>Fusée en cours0</c:v>
          </c:tx>
          <c:spPr>
            <a:ln w="25400">
              <a:solidFill>
                <a:schemeClr val="tx1"/>
              </a:solidFill>
            </a:ln>
          </c:spPr>
          <c:marker>
            <c:symbol val="none"/>
          </c:marker>
          <c:xVal>
            <c:numRef>
              <c:f>Stabilito!$B$193:$B$194</c:f>
              <c:numCache>
                <c:formatCode>0.00</c:formatCode>
                <c:ptCount val="2"/>
                <c:pt idx="0">
                  <c:v>3.4083177735054528</c:v>
                </c:pt>
                <c:pt idx="1">
                  <c:v>2.8801592027938705</c:v>
                </c:pt>
              </c:numCache>
            </c:numRef>
          </c:xVal>
          <c:yVal>
            <c:numRef>
              <c:f>Stabilito!$C$193:$C$194</c:f>
              <c:numCache>
                <c:formatCode>0.00</c:formatCode>
                <c:ptCount val="2"/>
                <c:pt idx="0">
                  <c:v>22.203078547045632</c:v>
                </c:pt>
                <c:pt idx="1">
                  <c:v>22.203078547045632</c:v>
                </c:pt>
              </c:numCache>
            </c:numRef>
          </c:yVal>
          <c:smooth val="0"/>
          <c:extLst>
            <c:ext xmlns:c16="http://schemas.microsoft.com/office/drawing/2014/chart" uri="{C3380CC4-5D6E-409C-BE32-E72D297353CC}">
              <c16:uniqueId val="{0000000B-B31D-4594-A6FE-3479B8181EFE}"/>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Trajecto!$B$110</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Trajecto!$B$120</c:f>
              <c:numCache>
                <c:formatCode>0</c:formatCode>
                <c:ptCount val="1"/>
                <c:pt idx="0">
                  <c:v>2493.3072967125281</c:v>
                </c:pt>
              </c:numCache>
            </c:numRef>
          </c:xVal>
          <c:yVal>
            <c:numRef>
              <c:f>Trajecto!$C$118</c:f>
              <c:numCache>
                <c:formatCode>0</c:formatCode>
                <c:ptCount val="1"/>
                <c:pt idx="0">
                  <c:v>2493.3072967125281</c:v>
                </c:pt>
              </c:numCache>
            </c:numRef>
          </c:yVal>
          <c:smooth val="1"/>
          <c:extLst>
            <c:ext xmlns:c16="http://schemas.microsoft.com/office/drawing/2014/chart" uri="{C3380CC4-5D6E-409C-BE32-E72D297353CC}">
              <c16:uniqueId val="{00000000-3E62-4C97-96C4-8569A9DB8ECB}"/>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6.8552733786947613</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29.874748330782246</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68.797406153614432</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120.93943699535552</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181.13241079597137</c:v>
                </c:pt>
                <c:pt idx="501">
                  <c:v>#N/A</c:v>
                </c:pt>
                <c:pt idx="502">
                  <c:v>#N/A</c:v>
                </c:pt>
                <c:pt idx="503">
                  <c:v>#N/A</c:v>
                </c:pt>
                <c:pt idx="504">
                  <c:v>#N/A</c:v>
                </c:pt>
                <c:pt idx="505">
                  <c:v>#N/A</c:v>
                </c:pt>
                <c:pt idx="506">
                  <c:v>#N/A</c:v>
                </c:pt>
                <c:pt idx="507">
                  <c:v>#N/A</c:v>
                </c:pt>
                <c:pt idx="508">
                  <c:v>#N/A</c:v>
                </c:pt>
                <c:pt idx="509">
                  <c:v>#N/A</c:v>
                </c:pt>
                <c:pt idx="510">
                  <c:v>239.1136124379934</c:v>
                </c:pt>
                <c:pt idx="511">
                  <c:v>#N/A</c:v>
                </c:pt>
                <c:pt idx="512">
                  <c:v>#N/A</c:v>
                </c:pt>
                <c:pt idx="513">
                  <c:v>#N/A</c:v>
                </c:pt>
                <c:pt idx="514">
                  <c:v>#N/A</c:v>
                </c:pt>
                <c:pt idx="515">
                  <c:v>#N/A</c:v>
                </c:pt>
                <c:pt idx="516">
                  <c:v>#N/A</c:v>
                </c:pt>
                <c:pt idx="517">
                  <c:v>#N/A</c:v>
                </c:pt>
                <c:pt idx="518">
                  <c:v>#N/A</c:v>
                </c:pt>
                <c:pt idx="519">
                  <c:v>#N/A</c:v>
                </c:pt>
                <c:pt idx="520">
                  <c:v>294.15077634915065</c:v>
                </c:pt>
                <c:pt idx="521">
                  <c:v>#N/A</c:v>
                </c:pt>
                <c:pt idx="522">
                  <c:v>#N/A</c:v>
                </c:pt>
                <c:pt idx="523">
                  <c:v>#N/A</c:v>
                </c:pt>
                <c:pt idx="524">
                  <c:v>#N/A</c:v>
                </c:pt>
                <c:pt idx="525">
                  <c:v>#N/A</c:v>
                </c:pt>
                <c:pt idx="526">
                  <c:v>#N/A</c:v>
                </c:pt>
                <c:pt idx="527">
                  <c:v>#N/A</c:v>
                </c:pt>
                <c:pt idx="528">
                  <c:v>#N/A</c:v>
                </c:pt>
                <c:pt idx="529">
                  <c:v>#N/A</c:v>
                </c:pt>
                <c:pt idx="530">
                  <c:v>346.6917028165567</c:v>
                </c:pt>
                <c:pt idx="531">
                  <c:v>#N/A</c:v>
                </c:pt>
                <c:pt idx="532">
                  <c:v>#N/A</c:v>
                </c:pt>
                <c:pt idx="533">
                  <c:v>#N/A</c:v>
                </c:pt>
                <c:pt idx="534">
                  <c:v>#N/A</c:v>
                </c:pt>
                <c:pt idx="535">
                  <c:v>#N/A</c:v>
                </c:pt>
                <c:pt idx="536">
                  <c:v>#N/A</c:v>
                </c:pt>
                <c:pt idx="537">
                  <c:v>#N/A</c:v>
                </c:pt>
                <c:pt idx="538">
                  <c:v>#N/A</c:v>
                </c:pt>
                <c:pt idx="539">
                  <c:v>#N/A</c:v>
                </c:pt>
                <c:pt idx="540">
                  <c:v>397.09849642294228</c:v>
                </c:pt>
                <c:pt idx="541">
                  <c:v>#N/A</c:v>
                </c:pt>
                <c:pt idx="542">
                  <c:v>#N/A</c:v>
                </c:pt>
                <c:pt idx="543">
                  <c:v>#N/A</c:v>
                </c:pt>
                <c:pt idx="544">
                  <c:v>#N/A</c:v>
                </c:pt>
                <c:pt idx="545">
                  <c:v>#N/A</c:v>
                </c:pt>
                <c:pt idx="546">
                  <c:v>#N/A</c:v>
                </c:pt>
                <c:pt idx="547">
                  <c:v>#N/A</c:v>
                </c:pt>
                <c:pt idx="548">
                  <c:v>#N/A</c:v>
                </c:pt>
                <c:pt idx="549">
                  <c:v>#N/A</c:v>
                </c:pt>
                <c:pt idx="550">
                  <c:v>445.66900265580273</c:v>
                </c:pt>
                <c:pt idx="551">
                  <c:v>#N/A</c:v>
                </c:pt>
                <c:pt idx="552">
                  <c:v>#N/A</c:v>
                </c:pt>
                <c:pt idx="553">
                  <c:v>#N/A</c:v>
                </c:pt>
                <c:pt idx="554">
                  <c:v>#N/A</c:v>
                </c:pt>
                <c:pt idx="555">
                  <c:v>#N/A</c:v>
                </c:pt>
                <c:pt idx="556">
                  <c:v>#N/A</c:v>
                </c:pt>
                <c:pt idx="557">
                  <c:v>#N/A</c:v>
                </c:pt>
                <c:pt idx="558">
                  <c:v>#N/A</c:v>
                </c:pt>
                <c:pt idx="559">
                  <c:v>#N/A</c:v>
                </c:pt>
                <c:pt idx="560">
                  <c:v>492.65191623337216</c:v>
                </c:pt>
                <c:pt idx="561">
                  <c:v>#N/A</c:v>
                </c:pt>
                <c:pt idx="562">
                  <c:v>#N/A</c:v>
                </c:pt>
                <c:pt idx="563">
                  <c:v>#N/A</c:v>
                </c:pt>
                <c:pt idx="564">
                  <c:v>#N/A</c:v>
                </c:pt>
                <c:pt idx="565">
                  <c:v>#N/A</c:v>
                </c:pt>
                <c:pt idx="566">
                  <c:v>#N/A</c:v>
                </c:pt>
                <c:pt idx="567">
                  <c:v>#N/A</c:v>
                </c:pt>
                <c:pt idx="568">
                  <c:v>#N/A</c:v>
                </c:pt>
                <c:pt idx="569">
                  <c:v>#N/A</c:v>
                </c:pt>
                <c:pt idx="570">
                  <c:v>538.25767763579654</c:v>
                </c:pt>
                <c:pt idx="571">
                  <c:v>#N/A</c:v>
                </c:pt>
                <c:pt idx="572">
                  <c:v>#N/A</c:v>
                </c:pt>
                <c:pt idx="573">
                  <c:v>#N/A</c:v>
                </c:pt>
                <c:pt idx="574">
                  <c:v>#N/A</c:v>
                </c:pt>
                <c:pt idx="575">
                  <c:v>#N/A</c:v>
                </c:pt>
                <c:pt idx="576">
                  <c:v>#N/A</c:v>
                </c:pt>
                <c:pt idx="577">
                  <c:v>#N/A</c:v>
                </c:pt>
                <c:pt idx="578">
                  <c:v>#N/A</c:v>
                </c:pt>
                <c:pt idx="579">
                  <c:v>#N/A</c:v>
                </c:pt>
                <c:pt idx="580">
                  <c:v>582.66648128940119</c:v>
                </c:pt>
                <c:pt idx="581">
                  <c:v>#N/A</c:v>
                </c:pt>
                <c:pt idx="582">
                  <c:v>#N/A</c:v>
                </c:pt>
                <c:pt idx="583">
                  <c:v>#N/A</c:v>
                </c:pt>
                <c:pt idx="584">
                  <c:v>#N/A</c:v>
                </c:pt>
                <c:pt idx="585">
                  <c:v>#N/A</c:v>
                </c:pt>
                <c:pt idx="586">
                  <c:v>#N/A</c:v>
                </c:pt>
                <c:pt idx="587">
                  <c:v>#N/A</c:v>
                </c:pt>
                <c:pt idx="588">
                  <c:v>#N/A</c:v>
                </c:pt>
                <c:pt idx="589">
                  <c:v>#N/A</c:v>
                </c:pt>
                <c:pt idx="590">
                  <c:v>626.03424419877661</c:v>
                </c:pt>
                <c:pt idx="591">
                  <c:v>#N/A</c:v>
                </c:pt>
                <c:pt idx="592">
                  <c:v>#N/A</c:v>
                </c:pt>
                <c:pt idx="593">
                  <c:v>#N/A</c:v>
                </c:pt>
                <c:pt idx="594">
                  <c:v>#N/A</c:v>
                </c:pt>
                <c:pt idx="595">
                  <c:v>#N/A</c:v>
                </c:pt>
                <c:pt idx="596">
                  <c:v>#N/A</c:v>
                </c:pt>
                <c:pt idx="597">
                  <c:v>#N/A</c:v>
                </c:pt>
                <c:pt idx="598">
                  <c:v>#N/A</c:v>
                </c:pt>
                <c:pt idx="599">
                  <c:v>#N/A</c:v>
                </c:pt>
                <c:pt idx="600">
                  <c:v>668.49708731957105</c:v>
                </c:pt>
                <c:pt idx="601">
                  <c:v>#N/A</c:v>
                </c:pt>
                <c:pt idx="602">
                  <c:v>#N/A</c:v>
                </c:pt>
                <c:pt idx="603">
                  <c:v>#N/A</c:v>
                </c:pt>
                <c:pt idx="604">
                  <c:v>#N/A</c:v>
                </c:pt>
                <c:pt idx="605">
                  <c:v>#N/A</c:v>
                </c:pt>
                <c:pt idx="606">
                  <c:v>#N/A</c:v>
                </c:pt>
                <c:pt idx="607">
                  <c:v>#N/A</c:v>
                </c:pt>
                <c:pt idx="608">
                  <c:v>#N/A</c:v>
                </c:pt>
                <c:pt idx="609">
                  <c:v>#N/A</c:v>
                </c:pt>
                <c:pt idx="610">
                  <c:v>710.17468681438788</c:v>
                </c:pt>
                <c:pt idx="611">
                  <c:v>#N/A</c:v>
                </c:pt>
                <c:pt idx="612">
                  <c:v>#N/A</c:v>
                </c:pt>
                <c:pt idx="613">
                  <c:v>#N/A</c:v>
                </c:pt>
                <c:pt idx="614">
                  <c:v>#N/A</c:v>
                </c:pt>
                <c:pt idx="615">
                  <c:v>#N/A</c:v>
                </c:pt>
                <c:pt idx="616">
                  <c:v>#N/A</c:v>
                </c:pt>
                <c:pt idx="617">
                  <c:v>#N/A</c:v>
                </c:pt>
                <c:pt idx="618">
                  <c:v>#N/A</c:v>
                </c:pt>
                <c:pt idx="619">
                  <c:v>#N/A</c:v>
                </c:pt>
                <c:pt idx="620">
                  <c:v>751.17271355450021</c:v>
                </c:pt>
                <c:pt idx="621">
                  <c:v>#N/A</c:v>
                </c:pt>
                <c:pt idx="622">
                  <c:v>#N/A</c:v>
                </c:pt>
                <c:pt idx="623">
                  <c:v>#N/A</c:v>
                </c:pt>
                <c:pt idx="624">
                  <c:v>#N/A</c:v>
                </c:pt>
                <c:pt idx="625">
                  <c:v>#N/A</c:v>
                </c:pt>
                <c:pt idx="626">
                  <c:v>#N/A</c:v>
                </c:pt>
                <c:pt idx="627">
                  <c:v>#N/A</c:v>
                </c:pt>
                <c:pt idx="628">
                  <c:v>#N/A</c:v>
                </c:pt>
                <c:pt idx="629">
                  <c:v>#N/A</c:v>
                </c:pt>
                <c:pt idx="630">
                  <c:v>791.58446801037348</c:v>
                </c:pt>
                <c:pt idx="631">
                  <c:v>#N/A</c:v>
                </c:pt>
                <c:pt idx="632">
                  <c:v>#N/A</c:v>
                </c:pt>
                <c:pt idx="633">
                  <c:v>#N/A</c:v>
                </c:pt>
                <c:pt idx="634">
                  <c:v>#N/A</c:v>
                </c:pt>
                <c:pt idx="635">
                  <c:v>#N/A</c:v>
                </c:pt>
                <c:pt idx="636">
                  <c:v>#N/A</c:v>
                </c:pt>
                <c:pt idx="637">
                  <c:v>#N/A</c:v>
                </c:pt>
                <c:pt idx="638">
                  <c:v>#N/A</c:v>
                </c:pt>
                <c:pt idx="639">
                  <c:v>#N/A</c:v>
                </c:pt>
                <c:pt idx="640">
                  <c:v>831.49171469278053</c:v>
                </c:pt>
                <c:pt idx="641">
                  <c:v>#N/A</c:v>
                </c:pt>
                <c:pt idx="642">
                  <c:v>#N/A</c:v>
                </c:pt>
                <c:pt idx="643">
                  <c:v>#N/A</c:v>
                </c:pt>
                <c:pt idx="644">
                  <c:v>#N/A</c:v>
                </c:pt>
                <c:pt idx="645">
                  <c:v>#N/A</c:v>
                </c:pt>
                <c:pt idx="646">
                  <c:v>#N/A</c:v>
                </c:pt>
                <c:pt idx="647">
                  <c:v>#N/A</c:v>
                </c:pt>
                <c:pt idx="648">
                  <c:v>#N/A</c:v>
                </c:pt>
                <c:pt idx="649">
                  <c:v>#N/A</c:v>
                </c:pt>
                <c:pt idx="650">
                  <c:v>870.9646195751742</c:v>
                </c:pt>
                <c:pt idx="651">
                  <c:v>#N/A</c:v>
                </c:pt>
                <c:pt idx="652">
                  <c:v>#N/A</c:v>
                </c:pt>
                <c:pt idx="653">
                  <c:v>#N/A</c:v>
                </c:pt>
                <c:pt idx="654">
                  <c:v>#N/A</c:v>
                </c:pt>
                <c:pt idx="655">
                  <c:v>#N/A</c:v>
                </c:pt>
                <c:pt idx="656">
                  <c:v>#N/A</c:v>
                </c:pt>
                <c:pt idx="657">
                  <c:v>#N/A</c:v>
                </c:pt>
                <c:pt idx="658">
                  <c:v>#N/A</c:v>
                </c:pt>
                <c:pt idx="659">
                  <c:v>#N/A</c:v>
                </c:pt>
                <c:pt idx="660">
                  <c:v>910.06063055066556</c:v>
                </c:pt>
                <c:pt idx="661">
                  <c:v>#N/A</c:v>
                </c:pt>
                <c:pt idx="662">
                  <c:v>#N/A</c:v>
                </c:pt>
                <c:pt idx="663">
                  <c:v>#N/A</c:v>
                </c:pt>
                <c:pt idx="664">
                  <c:v>#N/A</c:v>
                </c:pt>
                <c:pt idx="665">
                  <c:v>#N/A</c:v>
                </c:pt>
                <c:pt idx="666">
                  <c:v>#N/A</c:v>
                </c:pt>
                <c:pt idx="667">
                  <c:v>#N/A</c:v>
                </c:pt>
                <c:pt idx="668">
                  <c:v>#N/A</c:v>
                </c:pt>
                <c:pt idx="669">
                  <c:v>#N/A</c:v>
                </c:pt>
                <c:pt idx="670">
                  <c:v>948.82225959118091</c:v>
                </c:pt>
                <c:pt idx="671">
                  <c:v>#N/A</c:v>
                </c:pt>
                <c:pt idx="672">
                  <c:v>#N/A</c:v>
                </c:pt>
                <c:pt idx="673">
                  <c:v>#N/A</c:v>
                </c:pt>
                <c:pt idx="674">
                  <c:v>#N/A</c:v>
                </c:pt>
                <c:pt idx="675">
                  <c:v>#N/A</c:v>
                </c:pt>
                <c:pt idx="676">
                  <c:v>#N/A</c:v>
                </c:pt>
                <c:pt idx="677">
                  <c:v>#N/A</c:v>
                </c:pt>
                <c:pt idx="678">
                  <c:v>#N/A</c:v>
                </c:pt>
                <c:pt idx="679">
                  <c:v>#N/A</c:v>
                </c:pt>
                <c:pt idx="680">
                  <c:v>987.27429651462137</c:v>
                </c:pt>
                <c:pt idx="681">
                  <c:v>#N/A</c:v>
                </c:pt>
                <c:pt idx="682">
                  <c:v>#N/A</c:v>
                </c:pt>
                <c:pt idx="683">
                  <c:v>#N/A</c:v>
                </c:pt>
                <c:pt idx="684">
                  <c:v>#N/A</c:v>
                </c:pt>
                <c:pt idx="685">
                  <c:v>#N/A</c:v>
                </c:pt>
                <c:pt idx="686">
                  <c:v>#N/A</c:v>
                </c:pt>
                <c:pt idx="687">
                  <c:v>#N/A</c:v>
                </c:pt>
                <c:pt idx="688">
                  <c:v>#N/A</c:v>
                </c:pt>
                <c:pt idx="689">
                  <c:v>#N/A</c:v>
                </c:pt>
                <c:pt idx="690">
                  <c:v>1025.4219533248092</c:v>
                </c:pt>
                <c:pt idx="691">
                  <c:v>#N/A</c:v>
                </c:pt>
                <c:pt idx="692">
                  <c:v>#N/A</c:v>
                </c:pt>
                <c:pt idx="693">
                  <c:v>#N/A</c:v>
                </c:pt>
                <c:pt idx="694">
                  <c:v>#N/A</c:v>
                </c:pt>
                <c:pt idx="695">
                  <c:v>#N/A</c:v>
                </c:pt>
                <c:pt idx="696">
                  <c:v>#N/A</c:v>
                </c:pt>
                <c:pt idx="697">
                  <c:v>#N/A</c:v>
                </c:pt>
                <c:pt idx="698">
                  <c:v>#N/A</c:v>
                </c:pt>
                <c:pt idx="699">
                  <c:v>#N/A</c:v>
                </c:pt>
                <c:pt idx="700">
                  <c:v>1063.2516321912094</c:v>
                </c:pt>
                <c:pt idx="701">
                  <c:v>#N/A</c:v>
                </c:pt>
                <c:pt idx="702">
                  <c:v>#N/A</c:v>
                </c:pt>
                <c:pt idx="703">
                  <c:v>#N/A</c:v>
                </c:pt>
                <c:pt idx="704">
                  <c:v>#N/A</c:v>
                </c:pt>
                <c:pt idx="705">
                  <c:v>#N/A</c:v>
                </c:pt>
                <c:pt idx="706">
                  <c:v>#N/A</c:v>
                </c:pt>
                <c:pt idx="707">
                  <c:v>#N/A</c:v>
                </c:pt>
                <c:pt idx="708">
                  <c:v>#N/A</c:v>
                </c:pt>
                <c:pt idx="709">
                  <c:v>#N/A</c:v>
                </c:pt>
                <c:pt idx="710">
                  <c:v>1100.7344126644953</c:v>
                </c:pt>
                <c:pt idx="711">
                  <c:v>#N/A</c:v>
                </c:pt>
                <c:pt idx="712">
                  <c:v>#N/A</c:v>
                </c:pt>
                <c:pt idx="713">
                  <c:v>#N/A</c:v>
                </c:pt>
                <c:pt idx="714">
                  <c:v>#N/A</c:v>
                </c:pt>
                <c:pt idx="715">
                  <c:v>#N/A</c:v>
                </c:pt>
                <c:pt idx="716">
                  <c:v>#N/A</c:v>
                </c:pt>
                <c:pt idx="717">
                  <c:v>#N/A</c:v>
                </c:pt>
                <c:pt idx="718">
                  <c:v>#N/A</c:v>
                </c:pt>
                <c:pt idx="719">
                  <c:v>#N/A</c:v>
                </c:pt>
                <c:pt idx="720">
                  <c:v>1137.8306382624121</c:v>
                </c:pt>
                <c:pt idx="721">
                  <c:v>#N/A</c:v>
                </c:pt>
                <c:pt idx="722">
                  <c:v>#N/A</c:v>
                </c:pt>
                <c:pt idx="723">
                  <c:v>#N/A</c:v>
                </c:pt>
                <c:pt idx="724">
                  <c:v>#N/A</c:v>
                </c:pt>
                <c:pt idx="725">
                  <c:v>#N/A</c:v>
                </c:pt>
                <c:pt idx="726">
                  <c:v>#N/A</c:v>
                </c:pt>
                <c:pt idx="727">
                  <c:v>#N/A</c:v>
                </c:pt>
                <c:pt idx="728">
                  <c:v>#N/A</c:v>
                </c:pt>
                <c:pt idx="729">
                  <c:v>#N/A</c:v>
                </c:pt>
                <c:pt idx="730">
                  <c:v>1174.4940502416073</c:v>
                </c:pt>
                <c:pt idx="731">
                  <c:v>#N/A</c:v>
                </c:pt>
                <c:pt idx="732">
                  <c:v>#N/A</c:v>
                </c:pt>
                <c:pt idx="733">
                  <c:v>#N/A</c:v>
                </c:pt>
                <c:pt idx="734">
                  <c:v>#N/A</c:v>
                </c:pt>
                <c:pt idx="735">
                  <c:v>#N/A</c:v>
                </c:pt>
                <c:pt idx="736">
                  <c:v>#N/A</c:v>
                </c:pt>
                <c:pt idx="737">
                  <c:v>#N/A</c:v>
                </c:pt>
                <c:pt idx="738">
                  <c:v>#N/A</c:v>
                </c:pt>
                <c:pt idx="739">
                  <c:v>#N/A</c:v>
                </c:pt>
                <c:pt idx="740">
                  <c:v>1210.674919286397</c:v>
                </c:pt>
                <c:pt idx="741">
                  <c:v>#N/A</c:v>
                </c:pt>
                <c:pt idx="742">
                  <c:v>#N/A</c:v>
                </c:pt>
                <c:pt idx="743">
                  <c:v>#N/A</c:v>
                </c:pt>
                <c:pt idx="744">
                  <c:v>#N/A</c:v>
                </c:pt>
                <c:pt idx="745">
                  <c:v>#N/A</c:v>
                </c:pt>
                <c:pt idx="746">
                  <c:v>#N/A</c:v>
                </c:pt>
                <c:pt idx="747">
                  <c:v>#N/A</c:v>
                </c:pt>
                <c:pt idx="748">
                  <c:v>#N/A</c:v>
                </c:pt>
                <c:pt idx="749">
                  <c:v>#N/A</c:v>
                </c:pt>
                <c:pt idx="750">
                  <c:v>1246.3222702034166</c:v>
                </c:pt>
                <c:pt idx="751">
                  <c:v>#N/A</c:v>
                </c:pt>
                <c:pt idx="752">
                  <c:v>#N/A</c:v>
                </c:pt>
                <c:pt idx="753">
                  <c:v>#N/A</c:v>
                </c:pt>
                <c:pt idx="754">
                  <c:v>#N/A</c:v>
                </c:pt>
                <c:pt idx="755">
                  <c:v>#N/A</c:v>
                </c:pt>
                <c:pt idx="756">
                  <c:v>#N/A</c:v>
                </c:pt>
                <c:pt idx="757">
                  <c:v>#N/A</c:v>
                </c:pt>
                <c:pt idx="758">
                  <c:v>#N/A</c:v>
                </c:pt>
                <c:pt idx="759">
                  <c:v>#N/A</c:v>
                </c:pt>
                <c:pt idx="760">
                  <c:v>1281.3854531141844</c:v>
                </c:pt>
                <c:pt idx="761">
                  <c:v>#N/A</c:v>
                </c:pt>
                <c:pt idx="762">
                  <c:v>#N/A</c:v>
                </c:pt>
                <c:pt idx="763">
                  <c:v>#N/A</c:v>
                </c:pt>
                <c:pt idx="764">
                  <c:v>#N/A</c:v>
                </c:pt>
                <c:pt idx="765">
                  <c:v>#N/A</c:v>
                </c:pt>
                <c:pt idx="766">
                  <c:v>#N/A</c:v>
                </c:pt>
                <c:pt idx="767">
                  <c:v>#N/A</c:v>
                </c:pt>
                <c:pt idx="768">
                  <c:v>#N/A</c:v>
                </c:pt>
                <c:pt idx="769">
                  <c:v>#N/A</c:v>
                </c:pt>
                <c:pt idx="770">
                  <c:v>1315.815274987254</c:v>
                </c:pt>
                <c:pt idx="771">
                  <c:v>#N/A</c:v>
                </c:pt>
                <c:pt idx="772">
                  <c:v>#N/A</c:v>
                </c:pt>
                <c:pt idx="773">
                  <c:v>#N/A</c:v>
                </c:pt>
                <c:pt idx="774">
                  <c:v>#N/A</c:v>
                </c:pt>
                <c:pt idx="775">
                  <c:v>#N/A</c:v>
                </c:pt>
                <c:pt idx="776">
                  <c:v>#N/A</c:v>
                </c:pt>
                <c:pt idx="777">
                  <c:v>#N/A</c:v>
                </c:pt>
                <c:pt idx="778">
                  <c:v>#N/A</c:v>
                </c:pt>
                <c:pt idx="779">
                  <c:v>#N/A</c:v>
                </c:pt>
                <c:pt idx="780">
                  <c:v>1349.5648351041038</c:v>
                </c:pt>
                <c:pt idx="781">
                  <c:v>#N/A</c:v>
                </c:pt>
                <c:pt idx="782">
                  <c:v>#N/A</c:v>
                </c:pt>
                <c:pt idx="783">
                  <c:v>#N/A</c:v>
                </c:pt>
                <c:pt idx="784">
                  <c:v>#N/A</c:v>
                </c:pt>
                <c:pt idx="785">
                  <c:v>#N/A</c:v>
                </c:pt>
                <c:pt idx="786">
                  <c:v>#N/A</c:v>
                </c:pt>
                <c:pt idx="787">
                  <c:v>#N/A</c:v>
                </c:pt>
                <c:pt idx="788">
                  <c:v>#N/A</c:v>
                </c:pt>
                <c:pt idx="789">
                  <c:v>#N/A</c:v>
                </c:pt>
                <c:pt idx="790">
                  <c:v>1382.5901539422564</c:v>
                </c:pt>
                <c:pt idx="791">
                  <c:v>#N/A</c:v>
                </c:pt>
                <c:pt idx="792">
                  <c:v>#N/A</c:v>
                </c:pt>
                <c:pt idx="793">
                  <c:v>#N/A</c:v>
                </c:pt>
                <c:pt idx="794">
                  <c:v>#N/A</c:v>
                </c:pt>
                <c:pt idx="795">
                  <c:v>#N/A</c:v>
                </c:pt>
                <c:pt idx="796">
                  <c:v>#N/A</c:v>
                </c:pt>
                <c:pt idx="797">
                  <c:v>#N/A</c:v>
                </c:pt>
                <c:pt idx="798">
                  <c:v>#N/A</c:v>
                </c:pt>
                <c:pt idx="799">
                  <c:v>#N/A</c:v>
                </c:pt>
                <c:pt idx="800">
                  <c:v>1414.8506502213431</c:v>
                </c:pt>
                <c:pt idx="801">
                  <c:v>#N/A</c:v>
                </c:pt>
                <c:pt idx="802">
                  <c:v>#N/A</c:v>
                </c:pt>
                <c:pt idx="803">
                  <c:v>#N/A</c:v>
                </c:pt>
                <c:pt idx="804">
                  <c:v>#N/A</c:v>
                </c:pt>
                <c:pt idx="805">
                  <c:v>#N/A</c:v>
                </c:pt>
                <c:pt idx="806">
                  <c:v>#N/A</c:v>
                </c:pt>
                <c:pt idx="807">
                  <c:v>#N/A</c:v>
                </c:pt>
                <c:pt idx="808">
                  <c:v>#N/A</c:v>
                </c:pt>
                <c:pt idx="809">
                  <c:v>#N/A</c:v>
                </c:pt>
                <c:pt idx="810">
                  <c:v>1446.30949989482</c:v>
                </c:pt>
                <c:pt idx="811">
                  <c:v>#N/A</c:v>
                </c:pt>
                <c:pt idx="812">
                  <c:v>#N/A</c:v>
                </c:pt>
                <c:pt idx="813">
                  <c:v>#N/A</c:v>
                </c:pt>
                <c:pt idx="814">
                  <c:v>#N/A</c:v>
                </c:pt>
                <c:pt idx="815">
                  <c:v>#N/A</c:v>
                </c:pt>
                <c:pt idx="816">
                  <c:v>#N/A</c:v>
                </c:pt>
                <c:pt idx="817">
                  <c:v>#N/A</c:v>
                </c:pt>
                <c:pt idx="818">
                  <c:v>#N/A</c:v>
                </c:pt>
                <c:pt idx="819">
                  <c:v>#N/A</c:v>
                </c:pt>
                <c:pt idx="820">
                  <c:v>1476.9338985043335</c:v>
                </c:pt>
                <c:pt idx="821">
                  <c:v>#N/A</c:v>
                </c:pt>
                <c:pt idx="822">
                  <c:v>#N/A</c:v>
                </c:pt>
                <c:pt idx="823">
                  <c:v>#N/A</c:v>
                </c:pt>
                <c:pt idx="824">
                  <c:v>#N/A</c:v>
                </c:pt>
                <c:pt idx="825">
                  <c:v>#N/A</c:v>
                </c:pt>
                <c:pt idx="826">
                  <c:v>#N/A</c:v>
                </c:pt>
                <c:pt idx="827">
                  <c:v>#N/A</c:v>
                </c:pt>
                <c:pt idx="828">
                  <c:v>#N/A</c:v>
                </c:pt>
                <c:pt idx="829">
                  <c:v>#N/A</c:v>
                </c:pt>
                <c:pt idx="830">
                  <c:v>1506.6952411052519</c:v>
                </c:pt>
                <c:pt idx="831">
                  <c:v>#N/A</c:v>
                </c:pt>
                <c:pt idx="832">
                  <c:v>#N/A</c:v>
                </c:pt>
                <c:pt idx="833">
                  <c:v>#N/A</c:v>
                </c:pt>
                <c:pt idx="834">
                  <c:v>#N/A</c:v>
                </c:pt>
                <c:pt idx="835">
                  <c:v>#N/A</c:v>
                </c:pt>
                <c:pt idx="836">
                  <c:v>#N/A</c:v>
                </c:pt>
                <c:pt idx="837">
                  <c:v>#N/A</c:v>
                </c:pt>
                <c:pt idx="838">
                  <c:v>#N/A</c:v>
                </c:pt>
                <c:pt idx="839">
                  <c:v>#N/A</c:v>
                </c:pt>
                <c:pt idx="840">
                  <c:v>1535.5692298325721</c:v>
                </c:pt>
                <c:pt idx="841">
                  <c:v>#N/A</c:v>
                </c:pt>
                <c:pt idx="842">
                  <c:v>#N/A</c:v>
                </c:pt>
                <c:pt idx="843">
                  <c:v>#N/A</c:v>
                </c:pt>
                <c:pt idx="844">
                  <c:v>#N/A</c:v>
                </c:pt>
                <c:pt idx="845">
                  <c:v>#N/A</c:v>
                </c:pt>
                <c:pt idx="846">
                  <c:v>#N/A</c:v>
                </c:pt>
                <c:pt idx="847">
                  <c:v>#N/A</c:v>
                </c:pt>
                <c:pt idx="848">
                  <c:v>#N/A</c:v>
                </c:pt>
                <c:pt idx="849">
                  <c:v>#N/A</c:v>
                </c:pt>
                <c:pt idx="850">
                  <c:v>1563.5359168669049</c:v>
                </c:pt>
                <c:pt idx="851">
                  <c:v>#N/A</c:v>
                </c:pt>
                <c:pt idx="852">
                  <c:v>#N/A</c:v>
                </c:pt>
                <c:pt idx="853">
                  <c:v>#N/A</c:v>
                </c:pt>
                <c:pt idx="854">
                  <c:v>#N/A</c:v>
                </c:pt>
                <c:pt idx="855">
                  <c:v>#N/A</c:v>
                </c:pt>
                <c:pt idx="856">
                  <c:v>#N/A</c:v>
                </c:pt>
                <c:pt idx="857">
                  <c:v>#N/A</c:v>
                </c:pt>
                <c:pt idx="858">
                  <c:v>#N/A</c:v>
                </c:pt>
                <c:pt idx="859">
                  <c:v>#N/A</c:v>
                </c:pt>
                <c:pt idx="860">
                  <c:v>1590.5796893405395</c:v>
                </c:pt>
                <c:pt idx="861">
                  <c:v>#N/A</c:v>
                </c:pt>
                <c:pt idx="862">
                  <c:v>#N/A</c:v>
                </c:pt>
                <c:pt idx="863">
                  <c:v>#N/A</c:v>
                </c:pt>
                <c:pt idx="864">
                  <c:v>#N/A</c:v>
                </c:pt>
                <c:pt idx="865">
                  <c:v>#N/A</c:v>
                </c:pt>
                <c:pt idx="866">
                  <c:v>#N/A</c:v>
                </c:pt>
                <c:pt idx="867">
                  <c:v>#N/A</c:v>
                </c:pt>
                <c:pt idx="868">
                  <c:v>#N/A</c:v>
                </c:pt>
                <c:pt idx="869">
                  <c:v>#N/A</c:v>
                </c:pt>
                <c:pt idx="870">
                  <c:v>1616.6892021433985</c:v>
                </c:pt>
                <c:pt idx="871">
                  <c:v>#N/A</c:v>
                </c:pt>
                <c:pt idx="872">
                  <c:v>#N/A</c:v>
                </c:pt>
                <c:pt idx="873">
                  <c:v>#N/A</c:v>
                </c:pt>
                <c:pt idx="874">
                  <c:v>#N/A</c:v>
                </c:pt>
                <c:pt idx="875">
                  <c:v>#N/A</c:v>
                </c:pt>
                <c:pt idx="876">
                  <c:v>#N/A</c:v>
                </c:pt>
                <c:pt idx="877">
                  <c:v>#N/A</c:v>
                </c:pt>
                <c:pt idx="878">
                  <c:v>#N/A</c:v>
                </c:pt>
                <c:pt idx="879">
                  <c:v>#N/A</c:v>
                </c:pt>
                <c:pt idx="880">
                  <c:v>1641.8572643675022</c:v>
                </c:pt>
                <c:pt idx="881">
                  <c:v>#N/A</c:v>
                </c:pt>
                <c:pt idx="882">
                  <c:v>#N/A</c:v>
                </c:pt>
                <c:pt idx="883">
                  <c:v>#N/A</c:v>
                </c:pt>
                <c:pt idx="884">
                  <c:v>#N/A</c:v>
                </c:pt>
                <c:pt idx="885">
                  <c:v>#N/A</c:v>
                </c:pt>
                <c:pt idx="886">
                  <c:v>#N/A</c:v>
                </c:pt>
                <c:pt idx="887">
                  <c:v>#N/A</c:v>
                </c:pt>
                <c:pt idx="888">
                  <c:v>#N/A</c:v>
                </c:pt>
                <c:pt idx="889">
                  <c:v>#N/A</c:v>
                </c:pt>
                <c:pt idx="890">
                  <c:v>1666.0806850877682</c:v>
                </c:pt>
                <c:pt idx="891">
                  <c:v>#N/A</c:v>
                </c:pt>
                <c:pt idx="892">
                  <c:v>#N/A</c:v>
                </c:pt>
                <c:pt idx="893">
                  <c:v>#N/A</c:v>
                </c:pt>
                <c:pt idx="894">
                  <c:v>#N/A</c:v>
                </c:pt>
                <c:pt idx="895">
                  <c:v>#N/A</c:v>
                </c:pt>
                <c:pt idx="896">
                  <c:v>#N/A</c:v>
                </c:pt>
                <c:pt idx="897">
                  <c:v>#N/A</c:v>
                </c:pt>
                <c:pt idx="898">
                  <c:v>#N/A</c:v>
                </c:pt>
                <c:pt idx="899">
                  <c:v>#N/A</c:v>
                </c:pt>
                <c:pt idx="900">
                  <c:v>1689.3600842015167</c:v>
                </c:pt>
                <c:pt idx="901">
                  <c:v>#N/A</c:v>
                </c:pt>
                <c:pt idx="902">
                  <c:v>#N/A</c:v>
                </c:pt>
                <c:pt idx="903">
                  <c:v>#N/A</c:v>
                </c:pt>
                <c:pt idx="904">
                  <c:v>#N/A</c:v>
                </c:pt>
                <c:pt idx="905">
                  <c:v>#N/A</c:v>
                </c:pt>
                <c:pt idx="906">
                  <c:v>#N/A</c:v>
                </c:pt>
                <c:pt idx="907">
                  <c:v>#N/A</c:v>
                </c:pt>
                <c:pt idx="908">
                  <c:v>#N/A</c:v>
                </c:pt>
                <c:pt idx="909">
                  <c:v>#N/A</c:v>
                </c:pt>
                <c:pt idx="910">
                  <c:v>1711.6996740653221</c:v>
                </c:pt>
                <c:pt idx="911">
                  <c:v>#N/A</c:v>
                </c:pt>
                <c:pt idx="912">
                  <c:v>#N/A</c:v>
                </c:pt>
                <c:pt idx="913">
                  <c:v>#N/A</c:v>
                </c:pt>
                <c:pt idx="914">
                  <c:v>#N/A</c:v>
                </c:pt>
                <c:pt idx="915">
                  <c:v>#N/A</c:v>
                </c:pt>
                <c:pt idx="916">
                  <c:v>#N/A</c:v>
                </c:pt>
                <c:pt idx="917">
                  <c:v>#N/A</c:v>
                </c:pt>
                <c:pt idx="918">
                  <c:v>#N/A</c:v>
                </c:pt>
                <c:pt idx="919">
                  <c:v>#N/A</c:v>
                </c:pt>
                <c:pt idx="920">
                  <c:v>1733.1070176305861</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3.6937359344706394E-4</c:v>
                </c:pt>
                <c:pt idx="2">
                  <c:v>2.409843196968374E-3</c:v>
                </c:pt>
                <c:pt idx="3">
                  <c:v>7.440741493872579E-3</c:v>
                </c:pt>
                <c:pt idx="4">
                  <c:v>1.623630438492359E-2</c:v>
                </c:pt>
                <c:pt idx="5">
                  <c:v>2.9571348273326512E-2</c:v>
                </c:pt>
                <c:pt idx="6">
                  <c:v>4.8221358059421959E-2</c:v>
                </c:pt>
                <c:pt idx="7">
                  <c:v>7.296257457439749E-2</c:v>
                </c:pt>
                <c:pt idx="8">
                  <c:v>0.10457208148333813</c:v>
                </c:pt>
                <c:pt idx="9">
                  <c:v>0.1438278916872418</c:v>
                </c:pt>
                <c:pt idx="10">
                  <c:v>0.19150903325295746</c:v>
                </c:pt>
                <c:pt idx="11">
                  <c:v>0.24817296831150651</c:v>
                </c:pt>
                <c:pt idx="12">
                  <c:v>0.31393252335261035</c:v>
                </c:pt>
                <c:pt idx="13">
                  <c:v>0.38867618672903692</c:v>
                </c:pt>
                <c:pt idx="14">
                  <c:v>0.47228885012694549</c:v>
                </c:pt>
                <c:pt idx="15">
                  <c:v>0.56465350225469901</c:v>
                </c:pt>
                <c:pt idx="16">
                  <c:v>0.66565292596421655</c:v>
                </c:pt>
                <c:pt idx="17">
                  <c:v>0.77516970154074527</c:v>
                </c:pt>
                <c:pt idx="18">
                  <c:v>0.8930862099908885</c:v>
                </c:pt>
                <c:pt idx="19">
                  <c:v>1.0192846363284953</c:v>
                </c:pt>
                <c:pt idx="20">
                  <c:v>1.1536469728580168</c:v>
                </c:pt>
                <c:pt idx="21">
                  <c:v>1.2960550224549374</c:v>
                </c:pt>
                <c:pt idx="22">
                  <c:v>1.4463904018428917</c:v>
                </c:pt>
                <c:pt idx="23">
                  <c:v>1.6045345448670789</c:v>
                </c:pt>
                <c:pt idx="24">
                  <c:v>1.7703687057635917</c:v>
                </c:pt>
                <c:pt idx="25">
                  <c:v>1.9437739624242751</c:v>
                </c:pt>
                <c:pt idx="26">
                  <c:v>2.1246312196567372</c:v>
                </c:pt>
                <c:pt idx="27">
                  <c:v>2.3128511191445789</c:v>
                </c:pt>
                <c:pt idx="28">
                  <c:v>2.5084039963978619</c:v>
                </c:pt>
                <c:pt idx="29">
                  <c:v>2.7112900453318853</c:v>
                </c:pt>
                <c:pt idx="30">
                  <c:v>2.9215094342123353</c:v>
                </c:pt>
                <c:pt idx="31">
                  <c:v>3.1390623056262128</c:v>
                </c:pt>
                <c:pt idx="32">
                  <c:v>3.3639487764531877</c:v>
                </c:pt>
                <c:pt idx="33">
                  <c:v>3.596168937837386</c:v>
                </c:pt>
                <c:pt idx="34">
                  <c:v>3.8357228551596076</c:v>
                </c:pt>
                <c:pt idx="35">
                  <c:v>4.0826105680099767</c:v>
                </c:pt>
                <c:pt idx="36">
                  <c:v>4.336817293532202</c:v>
                </c:pt>
                <c:pt idx="37">
                  <c:v>4.5983277538632219</c:v>
                </c:pt>
                <c:pt idx="38">
                  <c:v>4.8671409756608819</c:v>
                </c:pt>
                <c:pt idx="39">
                  <c:v>5.1432559719222475</c:v>
                </c:pt>
                <c:pt idx="40">
                  <c:v>5.4266717479223958</c:v>
                </c:pt>
                <c:pt idx="41">
                  <c:v>5.7173873003768731</c:v>
                </c:pt>
                <c:pt idx="42">
                  <c:v>6.0154016166609923</c:v>
                </c:pt>
                <c:pt idx="43">
                  <c:v>6.3207136740807677</c:v>
                </c:pt>
                <c:pt idx="44">
                  <c:v>6.6333224391908958</c:v>
                </c:pt>
                <c:pt idx="45">
                  <c:v>6.9532268671556769</c:v>
                </c:pt>
                <c:pt idx="46">
                  <c:v>7.2804259011492434</c:v>
                </c:pt>
                <c:pt idx="47">
                  <c:v>7.6149184717918317</c:v>
                </c:pt>
                <c:pt idx="48">
                  <c:v>7.9567034966191779</c:v>
                </c:pt>
                <c:pt idx="49">
                  <c:v>8.3057798795824134</c:v>
                </c:pt>
                <c:pt idx="50">
                  <c:v>8.6621465105761057</c:v>
                </c:pt>
                <c:pt idx="51">
                  <c:v>9.0258022649923042</c:v>
                </c:pt>
                <c:pt idx="52">
                  <c:v>9.39674600329867</c:v>
                </c:pt>
                <c:pt idx="53">
                  <c:v>9.7749765706389393</c:v>
                </c:pt>
                <c:pt idx="54">
                  <c:v>10.160492796454141</c:v>
                </c:pt>
                <c:pt idx="55">
                  <c:v>10.553293494123118</c:v>
                </c:pt>
                <c:pt idx="56">
                  <c:v>10.953377460621033</c:v>
                </c:pt>
                <c:pt idx="57">
                  <c:v>11.36074347619468</c:v>
                </c:pt>
                <c:pt idx="58">
                  <c:v>11.775390304053468</c:v>
                </c:pt>
                <c:pt idx="59">
                  <c:v>12.197316690075109</c:v>
                </c:pt>
                <c:pt idx="60">
                  <c:v>12.626521362525043</c:v>
                </c:pt>
                <c:pt idx="61">
                  <c:v>13.063003031788798</c:v>
                </c:pt>
                <c:pt idx="62">
                  <c:v>13.506760390116462</c:v>
                </c:pt>
                <c:pt idx="63">
                  <c:v>13.957792111378586</c:v>
                </c:pt>
                <c:pt idx="64">
                  <c:v>14.416096850832806</c:v>
                </c:pt>
                <c:pt idx="65">
                  <c:v>14.88167324490062</c:v>
                </c:pt>
                <c:pt idx="66">
                  <c:v>15.354519910953712</c:v>
                </c:pt>
                <c:pt idx="67">
                  <c:v>15.834635447109322</c:v>
                </c:pt>
                <c:pt idx="68">
                  <c:v>16.322018432034156</c:v>
                </c:pt>
                <c:pt idx="69">
                  <c:v>16.816667424756393</c:v>
                </c:pt>
                <c:pt idx="70">
                  <c:v>17.318580964485363</c:v>
                </c:pt>
                <c:pt idx="71">
                  <c:v>17.827757570438511</c:v>
                </c:pt>
                <c:pt idx="72">
                  <c:v>18.344195401050573</c:v>
                </c:pt>
                <c:pt idx="73">
                  <c:v>18.867891912765909</c:v>
                </c:pt>
                <c:pt idx="74">
                  <c:v>19.398844199907973</c:v>
                </c:pt>
                <c:pt idx="75">
                  <c:v>19.937049334983051</c:v>
                </c:pt>
                <c:pt idx="76">
                  <c:v>20.482504368548444</c:v>
                </c:pt>
                <c:pt idx="77">
                  <c:v>21.035206329086257</c:v>
                </c:pt>
                <c:pt idx="78">
                  <c:v>21.595152222882575</c:v>
                </c:pt>
                <c:pt idx="79">
                  <c:v>22.162339033911731</c:v>
                </c:pt>
                <c:pt idx="80">
                  <c:v>22.736763723725492</c:v>
                </c:pt>
                <c:pt idx="81">
                  <c:v>23.318423231346934</c:v>
                </c:pt>
                <c:pt idx="82">
                  <c:v>23.907314473168796</c:v>
                </c:pt>
                <c:pt idx="83">
                  <c:v>24.503434342856153</c:v>
                </c:pt>
                <c:pt idx="84">
                  <c:v>25.106779711253207</c:v>
                </c:pt>
                <c:pt idx="85">
                  <c:v>25.717347426294037</c:v>
                </c:pt>
                <c:pt idx="86">
                  <c:v>26.335134312917177</c:v>
                </c:pt>
                <c:pt idx="87">
                  <c:v>26.960137172983831</c:v>
                </c:pt>
                <c:pt idx="88">
                  <c:v>27.592352785199633</c:v>
                </c:pt>
                <c:pt idx="89">
                  <c:v>28.23177790503977</c:v>
                </c:pt>
                <c:pt idx="90">
                  <c:v>28.878409264677394</c:v>
                </c:pt>
                <c:pt idx="91">
                  <c:v>29.532243572915171</c:v>
                </c:pt>
                <c:pt idx="92">
                  <c:v>30.193277515119874</c:v>
                </c:pt>
                <c:pt idx="93">
                  <c:v>30.861507753159898</c:v>
                </c:pt>
                <c:pt idx="94">
                  <c:v>31.536930925345615</c:v>
                </c:pt>
                <c:pt idx="95">
                  <c:v>32.219543646372458</c:v>
                </c:pt>
                <c:pt idx="96">
                  <c:v>32.909342507266665</c:v>
                </c:pt>
                <c:pt idx="97">
                  <c:v>33.606324075333561</c:v>
                </c:pt>
                <c:pt idx="98">
                  <c:v>34.310484894108342</c:v>
                </c:pt>
                <c:pt idx="99">
                  <c:v>35.021821483309246</c:v>
                </c:pt>
                <c:pt idx="100">
                  <c:v>35.740330338793065</c:v>
                </c:pt>
                <c:pt idx="101">
                  <c:v>36.466007932512895</c:v>
                </c:pt>
                <c:pt idx="102">
                  <c:v>37.198850712478098</c:v>
                </c:pt>
                <c:pt idx="103">
                  <c:v>37.938855102716381</c:v>
                </c:pt>
                <c:pt idx="104">
                  <c:v>38.686017503237935</c:v>
                </c:pt>
                <c:pt idx="105">
                  <c:v>39.440334290001601</c:v>
                </c:pt>
                <c:pt idx="106">
                  <c:v>40.201801814882984</c:v>
                </c:pt>
                <c:pt idx="107">
                  <c:v>40.970416405644443</c:v>
                </c:pt>
                <c:pt idx="108">
                  <c:v>41.74617436590696</c:v>
                </c:pt>
                <c:pt idx="109">
                  <c:v>42.529071975123799</c:v>
                </c:pt>
                <c:pt idx="110">
                  <c:v>43.319105488555927</c:v>
                </c:pt>
                <c:pt idx="111">
                  <c:v>44.116271137249136</c:v>
                </c:pt>
                <c:pt idx="112">
                  <c:v>44.920565128012832</c:v>
                </c:pt>
                <c:pt idx="113">
                  <c:v>45.731983643400469</c:v>
                </c:pt>
                <c:pt idx="114">
                  <c:v>46.550522841691546</c:v>
                </c:pt>
                <c:pt idx="115">
                  <c:v>47.376178856875185</c:v>
                </c:pt>
                <c:pt idx="116">
                  <c:v>48.208947798635201</c:v>
                </c:pt>
                <c:pt idx="117">
                  <c:v>49.048825752336661</c:v>
                </c:pt>
                <c:pt idx="118">
                  <c:v>49.895808779013905</c:v>
                </c:pt>
                <c:pt idx="119">
                  <c:v>50.749892915359951</c:v>
                </c:pt>
                <c:pt idx="120">
                  <c:v>51.611074173717334</c:v>
                </c:pt>
                <c:pt idx="121">
                  <c:v>52.479348542070248</c:v>
                </c:pt>
                <c:pt idx="122">
                  <c:v>53.354711984038062</c:v>
                </c:pt>
                <c:pt idx="123">
                  <c:v>54.237160438870106</c:v>
                </c:pt>
                <c:pt idx="124">
                  <c:v>55.126689821441772</c:v>
                </c:pt>
                <c:pt idx="125">
                  <c:v>56.023296022251806</c:v>
                </c:pt>
                <c:pt idx="126">
                  <c:v>56.926974907420878</c:v>
                </c:pt>
                <c:pt idx="127">
                  <c:v>57.837722318691327</c:v>
                </c:pt>
                <c:pt idx="128">
                  <c:v>58.755534073428123</c:v>
                </c:pt>
                <c:pt idx="129">
                  <c:v>59.680404399144614</c:v>
                </c:pt>
                <c:pt idx="130">
                  <c:v>60.612324366313949</c:v>
                </c:pt>
                <c:pt idx="131">
                  <c:v>61.551283451619859</c:v>
                </c:pt>
                <c:pt idx="132">
                  <c:v>62.497271102957384</c:v>
                </c:pt>
                <c:pt idx="133">
                  <c:v>63.45027673950603</c:v>
                </c:pt>
                <c:pt idx="134">
                  <c:v>64.410289751804186</c:v>
                </c:pt>
                <c:pt idx="135">
                  <c:v>65.377299501824808</c:v>
                </c:pt>
                <c:pt idx="136">
                  <c:v>66.351295323052284</c:v>
                </c:pt>
                <c:pt idx="137">
                  <c:v>67.332266520560481</c:v>
                </c:pt>
                <c:pt idx="138">
                  <c:v>68.320202371092023</c:v>
                </c:pt>
                <c:pt idx="139">
                  <c:v>69.315092123138626</c:v>
                </c:pt>
                <c:pt idx="140">
                  <c:v>70.31692499702261</c:v>
                </c:pt>
                <c:pt idx="141">
                  <c:v>71.325690184979493</c:v>
                </c:pt>
                <c:pt idx="142">
                  <c:v>72.34137685124162</c:v>
                </c:pt>
                <c:pt idx="143">
                  <c:v>73.36397413212292</c:v>
                </c:pt>
                <c:pt idx="144">
                  <c:v>74.393471136104637</c:v>
                </c:pt>
                <c:pt idx="145">
                  <c:v>75.429856943922118</c:v>
                </c:pt>
                <c:pt idx="146">
                  <c:v>76.473120608652536</c:v>
                </c:pt>
                <c:pt idx="147">
                  <c:v>77.523251155803649</c:v>
                </c:pt>
                <c:pt idx="148">
                  <c:v>78.580237583403516</c:v>
                </c:pt>
                <c:pt idx="149">
                  <c:v>79.644068862091089</c:v>
                </c:pt>
                <c:pt idx="150">
                  <c:v>80.714733935207803</c:v>
                </c:pt>
                <c:pt idx="151">
                  <c:v>81.792221718890033</c:v>
                </c:pt>
                <c:pt idx="152">
                  <c:v>82.876521102162428</c:v>
                </c:pt>
                <c:pt idx="153">
                  <c:v>83.96762094703216</c:v>
                </c:pt>
                <c:pt idx="154">
                  <c:v>85.065510088583991</c:v>
                </c:pt>
                <c:pt idx="155">
                  <c:v>86.170177335076204</c:v>
                </c:pt>
                <c:pt idx="156">
                  <c:v>87.28161146803734</c:v>
                </c:pt>
                <c:pt idx="157">
                  <c:v>88.399801242363779</c:v>
                </c:pt>
                <c:pt idx="158">
                  <c:v>89.524735386418087</c:v>
                </c:pt>
                <c:pt idx="159">
                  <c:v>90.656402602128168</c:v>
                </c:pt>
                <c:pt idx="160">
                  <c:v>91.794791565087138</c:v>
                </c:pt>
                <c:pt idx="161">
                  <c:v>92.939890924654023</c:v>
                </c:pt>
                <c:pt idx="162">
                  <c:v>94.091689304055166</c:v>
                </c:pt>
                <c:pt idx="163">
                  <c:v>95.250175300486362</c:v>
                </c:pt>
                <c:pt idx="164">
                  <c:v>96.415337485215687</c:v>
                </c:pt>
                <c:pt idx="165">
                  <c:v>97.587164403687083</c:v>
                </c:pt>
                <c:pt idx="166">
                  <c:v>98.765644575624592</c:v>
                </c:pt>
                <c:pt idx="167">
                  <c:v>99.950766495137273</c:v>
                </c:pt>
                <c:pt idx="168">
                  <c:v>101.14251863082478</c:v>
                </c:pt>
                <c:pt idx="169">
                  <c:v>102.34088942588367</c:v>
                </c:pt>
                <c:pt idx="170">
                  <c:v>103.54586729821423</c:v>
                </c:pt>
                <c:pt idx="171">
                  <c:v>104.75744064052802</c:v>
                </c:pt>
                <c:pt idx="172">
                  <c:v>105.975597820456</c:v>
                </c:pt>
                <c:pt idx="173">
                  <c:v>107.20032718065733</c:v>
                </c:pt>
                <c:pt idx="174">
                  <c:v>108.43161703892868</c:v>
                </c:pt>
                <c:pt idx="175">
                  <c:v>109.66945568831419</c:v>
                </c:pt>
                <c:pt idx="176">
                  <c:v>110.91383139721597</c:v>
                </c:pt>
                <c:pt idx="177">
                  <c:v>112.16473240950522</c:v>
                </c:pt>
                <c:pt idx="178">
                  <c:v>113.42214694463382</c:v>
                </c:pt>
                <c:pt idx="179">
                  <c:v>114.68606319774661</c:v>
                </c:pt>
                <c:pt idx="180">
                  <c:v>115.956469339794</c:v>
                </c:pt>
                <c:pt idx="181">
                  <c:v>117.23335351764533</c:v>
                </c:pt>
                <c:pt idx="182">
                  <c:v>118.5167038542026</c:v>
                </c:pt>
                <c:pt idx="183">
                  <c:v>119.80650844851476</c:v>
                </c:pt>
                <c:pt idx="184">
                  <c:v>121.1027553758925</c:v>
                </c:pt>
                <c:pt idx="185">
                  <c:v>122.4054326880235</c:v>
                </c:pt>
                <c:pt idx="186">
                  <c:v>123.71452841308822</c:v>
                </c:pt>
                <c:pt idx="187">
                  <c:v>125.0300305558761</c:v>
                </c:pt>
                <c:pt idx="188">
                  <c:v>126.35192709790223</c:v>
                </c:pt>
                <c:pt idx="189">
                  <c:v>127.68020599752458</c:v>
                </c:pt>
                <c:pt idx="190">
                  <c:v>129.0148551900615</c:v>
                </c:pt>
                <c:pt idx="191">
                  <c:v>130.35586258790974</c:v>
                </c:pt>
                <c:pt idx="192">
                  <c:v>131.70321608066297</c:v>
                </c:pt>
                <c:pt idx="193">
                  <c:v>133.05690353523062</c:v>
                </c:pt>
                <c:pt idx="194">
                  <c:v>134.41691279595719</c:v>
                </c:pt>
                <c:pt idx="195">
                  <c:v>135.78323168474185</c:v>
                </c:pt>
                <c:pt idx="196">
                  <c:v>137.15584800115866</c:v>
                </c:pt>
                <c:pt idx="197">
                  <c:v>138.53474952257696</c:v>
                </c:pt>
                <c:pt idx="198">
                  <c:v>139.91992400428219</c:v>
                </c:pt>
                <c:pt idx="199">
                  <c:v>141.31135917959716</c:v>
                </c:pt>
                <c:pt idx="200">
                  <c:v>142.70904276000368</c:v>
                </c:pt>
                <c:pt idx="201">
                  <c:v>144.11296243526439</c:v>
                </c:pt>
                <c:pt idx="202">
                  <c:v>145.52310587354515</c:v>
                </c:pt>
                <c:pt idx="203">
                  <c:v>146.93946072153759</c:v>
                </c:pt>
                <c:pt idx="204">
                  <c:v>148.36201460458213</c:v>
                </c:pt>
                <c:pt idx="205">
                  <c:v>149.79075512679125</c:v>
                </c:pt>
                <c:pt idx="206">
                  <c:v>151.22566949051395</c:v>
                </c:pt>
                <c:pt idx="207">
                  <c:v>152.66674411552015</c:v>
                </c:pt>
                <c:pt idx="208">
                  <c:v>154.11396501950296</c:v>
                </c:pt>
                <c:pt idx="209">
                  <c:v>155.56731819887074</c:v>
                </c:pt>
                <c:pt idx="210">
                  <c:v>157.02678962889007</c:v>
                </c:pt>
                <c:pt idx="211">
                  <c:v>158.49236526382896</c:v>
                </c:pt>
                <c:pt idx="212">
                  <c:v>159.96403103710037</c:v>
                </c:pt>
                <c:pt idx="213">
                  <c:v>161.44177286140587</c:v>
                </c:pt>
                <c:pt idx="214">
                  <c:v>162.92557662887964</c:v>
                </c:pt>
                <c:pt idx="215">
                  <c:v>164.41542821123264</c:v>
                </c:pt>
                <c:pt idx="216">
                  <c:v>165.91131345989692</c:v>
                </c:pt>
                <c:pt idx="217">
                  <c:v>167.41321820617031</c:v>
                </c:pt>
                <c:pt idx="218">
                  <c:v>168.92112826136116</c:v>
                </c:pt>
                <c:pt idx="219">
                  <c:v>170.43502941693336</c:v>
                </c:pt>
                <c:pt idx="220">
                  <c:v>171.95490744465144</c:v>
                </c:pt>
                <c:pt idx="221">
                  <c:v>173.48074809672596</c:v>
                </c:pt>
                <c:pt idx="222">
                  <c:v>175.01253710595907</c:v>
                </c:pt>
                <c:pt idx="223">
                  <c:v>176.5502601858901</c:v>
                </c:pt>
                <c:pt idx="224">
                  <c:v>178.09390303094145</c:v>
                </c:pt>
                <c:pt idx="225">
                  <c:v>179.64345131656452</c:v>
                </c:pt>
                <c:pt idx="226">
                  <c:v>181.19889069938594</c:v>
                </c:pt>
                <c:pt idx="227">
                  <c:v>182.76020681735366</c:v>
                </c:pt>
                <c:pt idx="228">
                  <c:v>184.32738528988347</c:v>
                </c:pt>
                <c:pt idx="229">
                  <c:v>185.90041171800542</c:v>
                </c:pt>
                <c:pt idx="230">
                  <c:v>187.47927168451051</c:v>
                </c:pt>
                <c:pt idx="231">
                  <c:v>189.06395075409728</c:v>
                </c:pt>
                <c:pt idx="232">
                  <c:v>190.65443447351876</c:v>
                </c:pt>
                <c:pt idx="233">
                  <c:v>192.2507083717293</c:v>
                </c:pt>
                <c:pt idx="234">
                  <c:v>193.8527579600316</c:v>
                </c:pt>
                <c:pt idx="235">
                  <c:v>195.46056873222372</c:v>
                </c:pt>
                <c:pt idx="236">
                  <c:v>197.0741261647463</c:v>
                </c:pt>
                <c:pt idx="237">
                  <c:v>198.69341571682972</c:v>
                </c:pt>
                <c:pt idx="238">
                  <c:v>200.31842283064137</c:v>
                </c:pt>
                <c:pt idx="239">
                  <c:v>201.94913293143298</c:v>
                </c:pt>
                <c:pt idx="240">
                  <c:v>203.58553142768801</c:v>
                </c:pt>
                <c:pt idx="241">
                  <c:v>205.22760371126896</c:v>
                </c:pt>
                <c:pt idx="242">
                  <c:v>206.87533384250113</c:v>
                </c:pt>
                <c:pt idx="243">
                  <c:v>208.52870323452919</c:v>
                </c:pt>
                <c:pt idx="244">
                  <c:v>210.1876919680021</c:v>
                </c:pt>
                <c:pt idx="245">
                  <c:v>211.85228010651844</c:v>
                </c:pt>
                <c:pt idx="246">
                  <c:v>213.52244769683969</c:v>
                </c:pt>
                <c:pt idx="247">
                  <c:v>215.19817476910347</c:v>
                </c:pt>
                <c:pt idx="248">
                  <c:v>216.87944133703644</c:v>
                </c:pt>
                <c:pt idx="249">
                  <c:v>218.56622739816703</c:v>
                </c:pt>
                <c:pt idx="250">
                  <c:v>220.25851293403795</c:v>
                </c:pt>
                <c:pt idx="251">
                  <c:v>221.95627791041844</c:v>
                </c:pt>
                <c:pt idx="252">
                  <c:v>223.65950227751628</c:v>
                </c:pt>
                <c:pt idx="253">
                  <c:v>225.36816597018955</c:v>
                </c:pt>
                <c:pt idx="254">
                  <c:v>227.08224890815805</c:v>
                </c:pt>
                <c:pt idx="255">
                  <c:v>228.80173099621453</c:v>
                </c:pt>
                <c:pt idx="256">
                  <c:v>230.52659212443558</c:v>
                </c:pt>
                <c:pt idx="257">
                  <c:v>232.25681216839226</c:v>
                </c:pt>
                <c:pt idx="258">
                  <c:v>233.99237098936038</c:v>
                </c:pt>
                <c:pt idx="259">
                  <c:v>235.73324843453059</c:v>
                </c:pt>
                <c:pt idx="260">
                  <c:v>237.47942433721792</c:v>
                </c:pt>
                <c:pt idx="261">
                  <c:v>239.23087851707126</c:v>
                </c:pt>
                <c:pt idx="262">
                  <c:v>240.98759078028229</c:v>
                </c:pt>
                <c:pt idx="263">
                  <c:v>242.74954091979419</c:v>
                </c:pt>
                <c:pt idx="264">
                  <c:v>244.51670871550996</c:v>
                </c:pt>
                <c:pt idx="265">
                  <c:v>246.28907393450035</c:v>
                </c:pt>
                <c:pt idx="266">
                  <c:v>248.06661633121146</c:v>
                </c:pt>
                <c:pt idx="267">
                  <c:v>249.849315647672</c:v>
                </c:pt>
                <c:pt idx="268">
                  <c:v>251.63715161370007</c:v>
                </c:pt>
                <c:pt idx="269">
                  <c:v>253.43010394710961</c:v>
                </c:pt>
                <c:pt idx="270">
                  <c:v>255.22815235391644</c:v>
                </c:pt>
                <c:pt idx="271">
                  <c:v>257.03127652854391</c:v>
                </c:pt>
                <c:pt idx="272">
                  <c:v>258.83945615402814</c:v>
                </c:pt>
                <c:pt idx="273">
                  <c:v>260.65267090222278</c:v>
                </c:pt>
                <c:pt idx="274">
                  <c:v>262.4709004340034</c:v>
                </c:pt>
                <c:pt idx="275">
                  <c:v>264.29412439947146</c:v>
                </c:pt>
                <c:pt idx="276">
                  <c:v>266.12232243815777</c:v>
                </c:pt>
                <c:pt idx="277">
                  <c:v>267.95547417922546</c:v>
                </c:pt>
                <c:pt idx="278">
                  <c:v>269.79355924167282</c:v>
                </c:pt>
                <c:pt idx="279">
                  <c:v>271.63655723453513</c:v>
                </c:pt>
                <c:pt idx="280">
                  <c:v>273.48444775708651</c:v>
                </c:pt>
                <c:pt idx="281">
                  <c:v>275.337210399041</c:v>
                </c:pt>
                <c:pt idx="282">
                  <c:v>277.1948247407534</c:v>
                </c:pt>
                <c:pt idx="283">
                  <c:v>279.05727035341931</c:v>
                </c:pt>
                <c:pt idx="284">
                  <c:v>280.92452834216084</c:v>
                </c:pt>
                <c:pt idx="285">
                  <c:v>282.79658288957563</c:v>
                </c:pt>
                <c:pt idx="286">
                  <c:v>284.67341971298526</c:v>
                </c:pt>
                <c:pt idx="287">
                  <c:v>286.55502452118424</c:v>
                </c:pt>
                <c:pt idx="288">
                  <c:v>288.44138301456792</c:v>
                </c:pt>
                <c:pt idx="289">
                  <c:v>290.33248088525988</c:v>
                </c:pt>
                <c:pt idx="290">
                  <c:v>292.22830381723946</c:v>
                </c:pt>
                <c:pt idx="291">
                  <c:v>294.1288374864688</c:v>
                </c:pt>
                <c:pt idx="292">
                  <c:v>296.03406756101958</c:v>
                </c:pt>
                <c:pt idx="293">
                  <c:v>297.94397970119991</c:v>
                </c:pt>
                <c:pt idx="294">
                  <c:v>299.85855955968071</c:v>
                </c:pt>
                <c:pt idx="295">
                  <c:v>301.77779278162183</c:v>
                </c:pt>
                <c:pt idx="296">
                  <c:v>303.70166500479814</c:v>
                </c:pt>
                <c:pt idx="297">
                  <c:v>305.63016185972509</c:v>
                </c:pt>
                <c:pt idx="298">
                  <c:v>307.56326896978442</c:v>
                </c:pt>
                <c:pt idx="299">
                  <c:v>309.50097195134913</c:v>
                </c:pt>
                <c:pt idx="300">
                  <c:v>311.44325641390867</c:v>
                </c:pt>
                <c:pt idx="301">
                  <c:v>313.39010796019357</c:v>
                </c:pt>
                <c:pt idx="302">
                  <c:v>315.34151218629989</c:v>
                </c:pt>
                <c:pt idx="303">
                  <c:v>317.29745468181352</c:v>
                </c:pt>
                <c:pt idx="304">
                  <c:v>319.25792102993404</c:v>
                </c:pt>
                <c:pt idx="305">
                  <c:v>321.22289680759832</c:v>
                </c:pt>
                <c:pt idx="306">
                  <c:v>323.19236758560413</c:v>
                </c:pt>
                <c:pt idx="307">
                  <c:v>325.16631892873306</c:v>
                </c:pt>
                <c:pt idx="308">
                  <c:v>327.14473639587351</c:v>
                </c:pt>
                <c:pt idx="309">
                  <c:v>329.12760554014312</c:v>
                </c:pt>
                <c:pt idx="310">
                  <c:v>331.1149119090112</c:v>
                </c:pt>
                <c:pt idx="311">
                  <c:v>333.1066410444206</c:v>
                </c:pt>
                <c:pt idx="312">
                  <c:v>335.10277848290946</c:v>
                </c:pt>
                <c:pt idx="313">
                  <c:v>337.1033097557326</c:v>
                </c:pt>
                <c:pt idx="314">
                  <c:v>339.10822038898272</c:v>
                </c:pt>
                <c:pt idx="315">
                  <c:v>341.11749590371107</c:v>
                </c:pt>
                <c:pt idx="316">
                  <c:v>343.13112181604811</c:v>
                </c:pt>
                <c:pt idx="317">
                  <c:v>345.1490836373236</c:v>
                </c:pt>
                <c:pt idx="318">
                  <c:v>347.17136687418656</c:v>
                </c:pt>
                <c:pt idx="319">
                  <c:v>349.19795702872483</c:v>
                </c:pt>
                <c:pt idx="320">
                  <c:v>351.22883959858433</c:v>
                </c:pt>
                <c:pt idx="321">
                  <c:v>353.26400007708804</c:v>
                </c:pt>
                <c:pt idx="322">
                  <c:v>355.30342395335464</c:v>
                </c:pt>
                <c:pt idx="323">
                  <c:v>357.34709671241683</c:v>
                </c:pt>
                <c:pt idx="324">
                  <c:v>359.39500383533931</c:v>
                </c:pt>
                <c:pt idx="325">
                  <c:v>361.44713079933638</c:v>
                </c:pt>
                <c:pt idx="326">
                  <c:v>363.50346317260096</c:v>
                </c:pt>
                <c:pt idx="327">
                  <c:v>365.56398670914376</c:v>
                </c:pt>
                <c:pt idx="328">
                  <c:v>367.62868725416229</c:v>
                </c:pt>
                <c:pt idx="329">
                  <c:v>369.69755064939744</c:v>
                </c:pt>
                <c:pt idx="330">
                  <c:v>371.77056273324575</c:v>
                </c:pt>
                <c:pt idx="331">
                  <c:v>373.84770934087157</c:v>
                </c:pt>
                <c:pt idx="332">
                  <c:v>375.92897630431889</c:v>
                </c:pt>
                <c:pt idx="333">
                  <c:v>378.01434945262264</c:v>
                </c:pt>
                <c:pt idx="334">
                  <c:v>380.10381461191986</c:v>
                </c:pt>
                <c:pt idx="335">
                  <c:v>382.1973576055604</c:v>
                </c:pt>
                <c:pt idx="336">
                  <c:v>384.29496425421752</c:v>
                </c:pt>
                <c:pt idx="337">
                  <c:v>386.39662037599777</c:v>
                </c:pt>
                <c:pt idx="338">
                  <c:v>388.50231178655082</c:v>
                </c:pt>
                <c:pt idx="339">
                  <c:v>390.61202429917893</c:v>
                </c:pt>
                <c:pt idx="340">
                  <c:v>392.72574372494597</c:v>
                </c:pt>
                <c:pt idx="341">
                  <c:v>394.84345587278608</c:v>
                </c:pt>
                <c:pt idx="342">
                  <c:v>396.96514654961214</c:v>
                </c:pt>
                <c:pt idx="343">
                  <c:v>399.09080156042364</c:v>
                </c:pt>
                <c:pt idx="344">
                  <c:v>401.22040670841454</c:v>
                </c:pt>
                <c:pt idx="345">
                  <c:v>403.35394779508039</c:v>
                </c:pt>
                <c:pt idx="346">
                  <c:v>405.49141062032538</c:v>
                </c:pt>
                <c:pt idx="347">
                  <c:v>407.63278098256893</c:v>
                </c:pt>
                <c:pt idx="348">
                  <c:v>409.77804467885187</c:v>
                </c:pt>
                <c:pt idx="349">
                  <c:v>411.92718750494231</c:v>
                </c:pt>
                <c:pt idx="350">
                  <c:v>414.0801952554412</c:v>
                </c:pt>
                <c:pt idx="351">
                  <c:v>416.23705372388736</c:v>
                </c:pt>
                <c:pt idx="352">
                  <c:v>418.39774870286237</c:v>
                </c:pt>
                <c:pt idx="353">
                  <c:v>420.56226598409489</c:v>
                </c:pt>
                <c:pt idx="354">
                  <c:v>422.73059135856465</c:v>
                </c:pt>
                <c:pt idx="355">
                  <c:v>424.90271061660616</c:v>
                </c:pt>
                <c:pt idx="356">
                  <c:v>427.07860954801197</c:v>
                </c:pt>
                <c:pt idx="357">
                  <c:v>429.25827394213553</c:v>
                </c:pt>
                <c:pt idx="358">
                  <c:v>431.44168958799366</c:v>
                </c:pt>
                <c:pt idx="359">
                  <c:v>433.62884227436888</c:v>
                </c:pt>
                <c:pt idx="360">
                  <c:v>435.8197177899109</c:v>
                </c:pt>
                <c:pt idx="361">
                  <c:v>438.01430192323818</c:v>
                </c:pt>
                <c:pt idx="362">
                  <c:v>440.21258046303882</c:v>
                </c:pt>
                <c:pt idx="363">
                  <c:v>442.41453919817116</c:v>
                </c:pt>
                <c:pt idx="364">
                  <c:v>444.62016391776393</c:v>
                </c:pt>
                <c:pt idx="365">
                  <c:v>446.82944041131623</c:v>
                </c:pt>
                <c:pt idx="366">
                  <c:v>449.04235686801997</c:v>
                </c:pt>
                <c:pt idx="367">
                  <c:v>451.25890627594663</c:v>
                </c:pt>
                <c:pt idx="368">
                  <c:v>453.4790840213027</c:v>
                </c:pt>
                <c:pt idx="369">
                  <c:v>455.70288548778672</c:v>
                </c:pt>
                <c:pt idx="370">
                  <c:v>457.93030605662022</c:v>
                </c:pt>
                <c:pt idx="371">
                  <c:v>460.1613411065785</c:v>
                </c:pt>
                <c:pt idx="372">
                  <c:v>462.3959860140215</c:v>
                </c:pt>
                <c:pt idx="373">
                  <c:v>464.63423615292464</c:v>
                </c:pt>
                <c:pt idx="374">
                  <c:v>466.87608689490946</c:v>
                </c:pt>
                <c:pt idx="375">
                  <c:v>469.12153360927442</c:v>
                </c:pt>
                <c:pt idx="376">
                  <c:v>471.37057166302554</c:v>
                </c:pt>
                <c:pt idx="377">
                  <c:v>473.62319642090694</c:v>
                </c:pt>
                <c:pt idx="378">
                  <c:v>475.8794032454316</c:v>
                </c:pt>
                <c:pt idx="379">
                  <c:v>478.13918749691175</c:v>
                </c:pt>
                <c:pt idx="380">
                  <c:v>480.40254453348945</c:v>
                </c:pt>
                <c:pt idx="381">
                  <c:v>482.66946712239582</c:v>
                </c:pt>
                <c:pt idx="382">
                  <c:v>484.93994285144049</c:v>
                </c:pt>
                <c:pt idx="383">
                  <c:v>487.21395671973005</c:v>
                </c:pt>
                <c:pt idx="384">
                  <c:v>489.49149372819176</c:v>
                </c:pt>
                <c:pt idx="385">
                  <c:v>491.77253887967589</c:v>
                </c:pt>
                <c:pt idx="386">
                  <c:v>494.05707717905739</c:v>
                </c:pt>
                <c:pt idx="387">
                  <c:v>496.34509363333717</c:v>
                </c:pt>
                <c:pt idx="388">
                  <c:v>498.63657325174296</c:v>
                </c:pt>
                <c:pt idx="389">
                  <c:v>500.93150104582969</c:v>
                </c:pt>
                <c:pt idx="390">
                  <c:v>503.22986202957929</c:v>
                </c:pt>
                <c:pt idx="391">
                  <c:v>505.53164121950022</c:v>
                </c:pt>
                <c:pt idx="392">
                  <c:v>507.83682363472639</c:v>
                </c:pt>
                <c:pt idx="393">
                  <c:v>510.14539429711579</c:v>
                </c:pt>
                <c:pt idx="394">
                  <c:v>512.45733823134844</c:v>
                </c:pt>
                <c:pt idx="395">
                  <c:v>514.77264046502398</c:v>
                </c:pt>
                <c:pt idx="396">
                  <c:v>517.09128602875876</c:v>
                </c:pt>
                <c:pt idx="397">
                  <c:v>519.41325995628256</c:v>
                </c:pt>
                <c:pt idx="398">
                  <c:v>521.73854728453477</c:v>
                </c:pt>
                <c:pt idx="399">
                  <c:v>524.06713305376013</c:v>
                </c:pt>
                <c:pt idx="400">
                  <c:v>526.39900230760372</c:v>
                </c:pt>
                <c:pt idx="401">
                  <c:v>528.73413806211443</c:v>
                </c:pt>
                <c:pt idx="402">
                  <c:v>531.07251927510788</c:v>
                </c:pt>
                <c:pt idx="403">
                  <c:v>533.4141228791741</c:v>
                </c:pt>
                <c:pt idx="404">
                  <c:v>535.75892581436199</c:v>
                </c:pt>
                <c:pt idx="405">
                  <c:v>538.10690502834689</c:v>
                </c:pt>
                <c:pt idx="406">
                  <c:v>540.45803747659727</c:v>
                </c:pt>
                <c:pt idx="407">
                  <c:v>542.81230012254025</c:v>
                </c:pt>
                <c:pt idx="408">
                  <c:v>545.16966993772633</c:v>
                </c:pt>
                <c:pt idx="409">
                  <c:v>547.53012390199262</c:v>
                </c:pt>
                <c:pt idx="410">
                  <c:v>549.89363900362548</c:v>
                </c:pt>
                <c:pt idx="411">
                  <c:v>552.26018103198612</c:v>
                </c:pt>
                <c:pt idx="412">
                  <c:v>554.62969337290951</c:v>
                </c:pt>
                <c:pt idx="413">
                  <c:v>557.00210822786096</c:v>
                </c:pt>
                <c:pt idx="414">
                  <c:v>559.37735783069593</c:v>
                </c:pt>
                <c:pt idx="415">
                  <c:v>561.75537444857139</c:v>
                </c:pt>
                <c:pt idx="416">
                  <c:v>564.13609038284937</c:v>
                </c:pt>
                <c:pt idx="417">
                  <c:v>566.51943796999171</c:v>
                </c:pt>
                <c:pt idx="418">
                  <c:v>568.90534958244734</c:v>
                </c:pt>
                <c:pt idx="419">
                  <c:v>571.29375762953032</c:v>
                </c:pt>
                <c:pt idx="420">
                  <c:v>573.6845881906446</c:v>
                </c:pt>
                <c:pt idx="421">
                  <c:v>576.07775465102941</c:v>
                </c:pt>
                <c:pt idx="422">
                  <c:v>578.47316407833478</c:v>
                </c:pt>
                <c:pt idx="423">
                  <c:v>580.87072359699778</c:v>
                </c:pt>
                <c:pt idx="424">
                  <c:v>583.27034038975228</c:v>
                </c:pt>
                <c:pt idx="425">
                  <c:v>585.67192169912312</c:v>
                </c:pt>
                <c:pt idx="426">
                  <c:v>588.0753748289053</c:v>
                </c:pt>
                <c:pt idx="427">
                  <c:v>590.48060714562678</c:v>
                </c:pt>
                <c:pt idx="428">
                  <c:v>592.88752607999595</c:v>
                </c:pt>
                <c:pt idx="429">
                  <c:v>595.29603912833375</c:v>
                </c:pt>
                <c:pt idx="430">
                  <c:v>597.70605385398972</c:v>
                </c:pt>
                <c:pt idx="431">
                  <c:v>600.11747788874231</c:v>
                </c:pt>
                <c:pt idx="432">
                  <c:v>602.53020868867725</c:v>
                </c:pt>
                <c:pt idx="433">
                  <c:v>604.94412329669422</c:v>
                </c:pt>
                <c:pt idx="434">
                  <c:v>607.35908860640905</c:v>
                </c:pt>
                <c:pt idx="435">
                  <c:v>609.77497162010548</c:v>
                </c:pt>
                <c:pt idx="436">
                  <c:v>612.19163945146909</c:v>
                </c:pt>
                <c:pt idx="437">
                  <c:v>614.60895932828953</c:v>
                </c:pt>
                <c:pt idx="438">
                  <c:v>617.02679859512921</c:v>
                </c:pt>
                <c:pt idx="439">
                  <c:v>619.44502471595956</c:v>
                </c:pt>
                <c:pt idx="440">
                  <c:v>621.86350527676416</c:v>
                </c:pt>
                <c:pt idx="441">
                  <c:v>624.28210798810926</c:v>
                </c:pt>
                <c:pt idx="442">
                  <c:v>626.70070690358762</c:v>
                </c:pt>
                <c:pt idx="443">
                  <c:v>629.11918863246638</c:v>
                </c:pt>
                <c:pt idx="444">
                  <c:v>631.53744611330728</c:v>
                </c:pt>
                <c:pt idx="445">
                  <c:v>633.95537239288728</c:v>
                </c:pt>
                <c:pt idx="446">
                  <c:v>636.37286062774899</c:v>
                </c:pt>
                <c:pt idx="447">
                  <c:v>638.78980408572988</c:v>
                </c:pt>
                <c:pt idx="448">
                  <c:v>641.20609614746934</c:v>
                </c:pt>
                <c:pt idx="449">
                  <c:v>643.62163030789486</c:v>
                </c:pt>
                <c:pt idx="450">
                  <c:v>646.03630017768614</c:v>
                </c:pt>
                <c:pt idx="451">
                  <c:v>648.44999948471843</c:v>
                </c:pt>
                <c:pt idx="452">
                  <c:v>650.86262207548396</c:v>
                </c:pt>
                <c:pt idx="453">
                  <c:v>653.27407080936712</c:v>
                </c:pt>
                <c:pt idx="454">
                  <c:v>655.68426644265503</c:v>
                </c:pt>
                <c:pt idx="455">
                  <c:v>658.09313871567701</c:v>
                </c:pt>
                <c:pt idx="456">
                  <c:v>660.50061744975415</c:v>
                </c:pt>
                <c:pt idx="457">
                  <c:v>662.90663254769652</c:v>
                </c:pt>
                <c:pt idx="458">
                  <c:v>665.31111399429153</c:v>
                </c:pt>
                <c:pt idx="459">
                  <c:v>667.71399185678308</c:v>
                </c:pt>
                <c:pt idx="460">
                  <c:v>670.11519628534199</c:v>
                </c:pt>
                <c:pt idx="461">
                  <c:v>672.51466551240173</c:v>
                </c:pt>
                <c:pt idx="462">
                  <c:v>674.9123538420082</c:v>
                </c:pt>
                <c:pt idx="463">
                  <c:v>677.30822363121274</c:v>
                </c:pt>
                <c:pt idx="464">
                  <c:v>679.70223728124336</c:v>
                </c:pt>
                <c:pt idx="465">
                  <c:v>682.09435723755632</c:v>
                </c:pt>
                <c:pt idx="466">
                  <c:v>684.48453927189655</c:v>
                </c:pt>
                <c:pt idx="467">
                  <c:v>686.87272577296505</c:v>
                </c:pt>
                <c:pt idx="468">
                  <c:v>689.25877767495854</c:v>
                </c:pt>
                <c:pt idx="469">
                  <c:v>691.6424980206607</c:v>
                </c:pt>
                <c:pt idx="470">
                  <c:v>694.02379838489708</c:v>
                </c:pt>
                <c:pt idx="471">
                  <c:v>696.4026819943565</c:v>
                </c:pt>
                <c:pt idx="472">
                  <c:v>698.77915206715682</c:v>
                </c:pt>
                <c:pt idx="473">
                  <c:v>701.15321181287482</c:v>
                </c:pt>
                <c:pt idx="474">
                  <c:v>703.52486443257601</c:v>
                </c:pt>
                <c:pt idx="475">
                  <c:v>705.89411311884464</c:v>
                </c:pt>
                <c:pt idx="476">
                  <c:v>708.26096105581303</c:v>
                </c:pt>
                <c:pt idx="477">
                  <c:v>710.62541141919132</c:v>
                </c:pt>
                <c:pt idx="478">
                  <c:v>712.98746737629676</c:v>
                </c:pt>
                <c:pt idx="479">
                  <c:v>715.34713208608298</c:v>
                </c:pt>
                <c:pt idx="480">
                  <c:v>717.70440869916888</c:v>
                </c:pt>
                <c:pt idx="481">
                  <c:v>720.05930035786787</c:v>
                </c:pt>
                <c:pt idx="482">
                  <c:v>722.41181019621661</c:v>
                </c:pt>
                <c:pt idx="483">
                  <c:v>724.76194134000377</c:v>
                </c:pt>
                <c:pt idx="484">
                  <c:v>727.10969690679872</c:v>
                </c:pt>
                <c:pt idx="485">
                  <c:v>729.45508000597977</c:v>
                </c:pt>
                <c:pt idx="486">
                  <c:v>731.79809373876265</c:v>
                </c:pt>
                <c:pt idx="487">
                  <c:v>734.13874119822879</c:v>
                </c:pt>
                <c:pt idx="488">
                  <c:v>736.47702546935329</c:v>
                </c:pt>
                <c:pt idx="489">
                  <c:v>738.81294962903314</c:v>
                </c:pt>
                <c:pt idx="490">
                  <c:v>741.14651674611468</c:v>
                </c:pt>
                <c:pt idx="491">
                  <c:v>743.47772988142162</c:v>
                </c:pt>
                <c:pt idx="492">
                  <c:v>745.80659208778275</c:v>
                </c:pt>
                <c:pt idx="493">
                  <c:v>748.1331064100591</c:v>
                </c:pt>
                <c:pt idx="494">
                  <c:v>750.4572758851715</c:v>
                </c:pt>
                <c:pt idx="495">
                  <c:v>752.77910354212781</c:v>
                </c:pt>
                <c:pt idx="496">
                  <c:v>755.09859240205014</c:v>
                </c:pt>
                <c:pt idx="497">
                  <c:v>757.41574547820176</c:v>
                </c:pt>
                <c:pt idx="498">
                  <c:v>759.73056577601392</c:v>
                </c:pt>
                <c:pt idx="499">
                  <c:v>762.04305629311273</c:v>
                </c:pt>
                <c:pt idx="500">
                  <c:v>764.35322001934594</c:v>
                </c:pt>
                <c:pt idx="501">
                  <c:v>787.32711480942896</c:v>
                </c:pt>
                <c:pt idx="502">
                  <c:v>810.07025332253977</c:v>
                </c:pt>
                <c:pt idx="503">
                  <c:v>832.58554919016797</c:v>
                </c:pt>
                <c:pt idx="504">
                  <c:v>854.87584181271234</c:v>
                </c:pt>
                <c:pt idx="505">
                  <c:v>876.94389882779831</c:v>
                </c:pt>
                <c:pt idx="506">
                  <c:v>898.79241847506535</c:v>
                </c:pt>
                <c:pt idx="507">
                  <c:v>920.42403186262084</c:v>
                </c:pt>
                <c:pt idx="508">
                  <c:v>941.84130514005267</c:v>
                </c:pt>
                <c:pt idx="509">
                  <c:v>963.04674158261003</c:v>
                </c:pt>
                <c:pt idx="510">
                  <c:v>984.04278359089744</c:v>
                </c:pt>
                <c:pt idx="511">
                  <c:v>1004.8318146101795</c:v>
                </c:pt>
                <c:pt idx="512">
                  <c:v>1025.416160973163</c:v>
                </c:pt>
                <c:pt idx="513">
                  <c:v>1045.7980936699046</c:v>
                </c:pt>
                <c:pt idx="514">
                  <c:v>1065.9798300482948</c:v>
                </c:pt>
                <c:pt idx="515">
                  <c:v>1085.9635354483714</c:v>
                </c:pt>
                <c:pt idx="516">
                  <c:v>1105.7513247735446</c:v>
                </c:pt>
                <c:pt idx="517">
                  <c:v>1125.345264001646</c:v>
                </c:pt>
                <c:pt idx="518">
                  <c:v>1144.7473716385559</c:v>
                </c:pt>
                <c:pt idx="519">
                  <c:v>1163.95962011702</c:v>
                </c:pt>
                <c:pt idx="520">
                  <c:v>1182.9839371431249</c:v>
                </c:pt>
                <c:pt idx="521">
                  <c:v>1201.8222069927738</c:v>
                </c:pt>
                <c:pt idx="522">
                  <c:v>1220.4762717603826</c:v>
                </c:pt>
                <c:pt idx="523">
                  <c:v>1238.9479325618991</c:v>
                </c:pt>
                <c:pt idx="524">
                  <c:v>1257.2389506941429</c:v>
                </c:pt>
                <c:pt idx="525">
                  <c:v>1275.3510487523606</c:v>
                </c:pt>
                <c:pt idx="526">
                  <c:v>1293.2859117077942</c:v>
                </c:pt>
                <c:pt idx="527">
                  <c:v>1311.0451879469729</c:v>
                </c:pt>
                <c:pt idx="528">
                  <c:v>1328.6304902743507</c:v>
                </c:pt>
                <c:pt idx="529">
                  <c:v>1346.0433968798325</c:v>
                </c:pt>
                <c:pt idx="530">
                  <c:v>1363.2854522726584</c:v>
                </c:pt>
                <c:pt idx="531">
                  <c:v>1380.3581681830399</c:v>
                </c:pt>
                <c:pt idx="532">
                  <c:v>1397.2630244328768</c:v>
                </c:pt>
                <c:pt idx="533">
                  <c:v>1414.0014697768204</c:v>
                </c:pt>
                <c:pt idx="534">
                  <c:v>1430.574922714886</c:v>
                </c:pt>
                <c:pt idx="535">
                  <c:v>1446.9847722777629</c:v>
                </c:pt>
                <c:pt idx="536">
                  <c:v>1463.2323787859132</c:v>
                </c:pt>
                <c:pt idx="537">
                  <c:v>1479.319074583505</c:v>
                </c:pt>
                <c:pt idx="538">
                  <c:v>1495.2461647481691</c:v>
                </c:pt>
                <c:pt idx="539">
                  <c:v>1511.0149277775311</c:v>
                </c:pt>
                <c:pt idx="540">
                  <c:v>1526.6266162534209</c:v>
                </c:pt>
                <c:pt idx="541">
                  <c:v>1542.0824574846247</c:v>
                </c:pt>
                <c:pt idx="542">
                  <c:v>1557.3836541290025</c:v>
                </c:pt>
                <c:pt idx="543">
                  <c:v>1572.5313847957589</c:v>
                </c:pt>
                <c:pt idx="544">
                  <c:v>1587.5268046286199</c:v>
                </c:pt>
                <c:pt idx="545">
                  <c:v>1602.3710458706346</c:v>
                </c:pt>
                <c:pt idx="546">
                  <c:v>1617.0652184112885</c:v>
                </c:pt>
                <c:pt idx="547">
                  <c:v>1631.610410316586</c:v>
                </c:pt>
                <c:pt idx="548">
                  <c:v>1646.0076883427314</c:v>
                </c:pt>
                <c:pt idx="549">
                  <c:v>1660.2580984340093</c:v>
                </c:pt>
                <c:pt idx="550">
                  <c:v>1674.3626662054403</c:v>
                </c:pt>
                <c:pt idx="551">
                  <c:v>1688.3223974107632</c:v>
                </c:pt>
                <c:pt idx="552">
                  <c:v>1702.1382783962722</c:v>
                </c:pt>
                <c:pt idx="553">
                  <c:v>1715.8112765410146</c:v>
                </c:pt>
                <c:pt idx="554">
                  <c:v>1729.3423406838331</c:v>
                </c:pt>
                <c:pt idx="555">
                  <c:v>1742.7324015377169</c:v>
                </c:pt>
                <c:pt idx="556">
                  <c:v>1755.9823720919085</c:v>
                </c:pt>
                <c:pt idx="557">
                  <c:v>1769.0931480021916</c:v>
                </c:pt>
                <c:pt idx="558">
                  <c:v>1782.0656079697703</c:v>
                </c:pt>
                <c:pt idx="559">
                  <c:v>1794.900614109132</c:v>
                </c:pt>
                <c:pt idx="560">
                  <c:v>1807.599012305272</c:v>
                </c:pt>
                <c:pt idx="561">
                  <c:v>1820.1616325606419</c:v>
                </c:pt>
                <c:pt idx="562">
                  <c:v>1832.5892893321686</c:v>
                </c:pt>
                <c:pt idx="563">
                  <c:v>1844.8827818586778</c:v>
                </c:pt>
                <c:pt idx="564">
                  <c:v>1857.0428944790444</c:v>
                </c:pt>
                <c:pt idx="565">
                  <c:v>1869.0703969413755</c:v>
                </c:pt>
                <c:pt idx="566">
                  <c:v>1880.9660447035249</c:v>
                </c:pt>
                <c:pt idx="567">
                  <c:v>1892.7305792252218</c:v>
                </c:pt>
                <c:pt idx="568">
                  <c:v>1904.3647282520901</c:v>
                </c:pt>
                <c:pt idx="569">
                  <c:v>1915.8692060918186</c:v>
                </c:pt>
                <c:pt idx="570">
                  <c:v>1927.2447138827386</c:v>
                </c:pt>
                <c:pt idx="571">
                  <c:v>1938.491939855051</c:v>
                </c:pt>
                <c:pt idx="572">
                  <c:v>1949.6115595849396</c:v>
                </c:pt>
                <c:pt idx="573">
                  <c:v>1960.604236241795</c:v>
                </c:pt>
                <c:pt idx="574">
                  <c:v>1971.4706208287676</c:v>
                </c:pt>
                <c:pt idx="575">
                  <c:v>1982.2113524168608</c:v>
                </c:pt>
                <c:pt idx="576">
                  <c:v>1992.8270583727649</c:v>
                </c:pt>
                <c:pt idx="577">
                  <c:v>2003.3183545806271</c:v>
                </c:pt>
                <c:pt idx="578">
                  <c:v>2013.6858456579469</c:v>
                </c:pt>
                <c:pt idx="579">
                  <c:v>2023.9301251657766</c:v>
                </c:pt>
                <c:pt idx="580">
                  <c:v>2034.0517758134029</c:v>
                </c:pt>
                <c:pt idx="581">
                  <c:v>2044.0513696576772</c:v>
                </c:pt>
                <c:pt idx="582">
                  <c:v>2053.9294682971604</c:v>
                </c:pt>
                <c:pt idx="583">
                  <c:v>2063.6866230612354</c:v>
                </c:pt>
                <c:pt idx="584">
                  <c:v>2073.3233751943421</c:v>
                </c:pt>
                <c:pt idx="585">
                  <c:v>2082.8402560354821</c:v>
                </c:pt>
                <c:pt idx="586">
                  <c:v>2092.237787193133</c:v>
                </c:pt>
                <c:pt idx="587">
                  <c:v>2101.5164807157125</c:v>
                </c:pt>
                <c:pt idx="588">
                  <c:v>2110.6768392577214</c:v>
                </c:pt>
                <c:pt idx="589">
                  <c:v>2119.7193562416974</c:v>
                </c:pt>
                <c:pt idx="590">
                  <c:v>2128.6445160161015</c:v>
                </c:pt>
                <c:pt idx="591">
                  <c:v>2137.4527940092617</c:v>
                </c:pt>
                <c:pt idx="592">
                  <c:v>2146.1446568794845</c:v>
                </c:pt>
                <c:pt idx="593">
                  <c:v>2154.7205626614541</c:v>
                </c:pt>
                <c:pt idx="594">
                  <c:v>2163.1809609090233</c:v>
                </c:pt>
                <c:pt idx="595">
                  <c:v>2171.5262928345091</c:v>
                </c:pt>
                <c:pt idx="596">
                  <c:v>2179.7569914445894</c:v>
                </c:pt>
                <c:pt idx="597">
                  <c:v>2187.8734816729075</c:v>
                </c:pt>
                <c:pt idx="598">
                  <c:v>2195.87618050948</c:v>
                </c:pt>
                <c:pt idx="599">
                  <c:v>2203.7654971270031</c:v>
                </c:pt>
                <c:pt idx="600">
                  <c:v>2211.5418330041498</c:v>
                </c:pt>
                <c:pt idx="601">
                  <c:v>2219.2055820459518</c:v>
                </c:pt>
                <c:pt idx="602">
                  <c:v>2226.7571307013504</c:v>
                </c:pt>
                <c:pt idx="603">
                  <c:v>2234.1968580780053</c:v>
                </c:pt>
                <c:pt idx="604">
                  <c:v>2241.5251360544435</c:v>
                </c:pt>
                <c:pt idx="605">
                  <c:v>2248.7423293896354</c:v>
                </c:pt>
                <c:pt idx="606">
                  <c:v>2255.8487958300743</c:v>
                </c:pt>
                <c:pt idx="607">
                  <c:v>2262.8448862144419</c:v>
                </c:pt>
                <c:pt idx="608">
                  <c:v>2269.730944575937</c:v>
                </c:pt>
                <c:pt idx="609">
                  <c:v>2276.5073082423442</c:v>
                </c:pt>
                <c:pt idx="610">
                  <c:v>2283.1743079339212</c:v>
                </c:pt>
                <c:pt idx="611">
                  <c:v>2289.732267859175</c:v>
                </c:pt>
                <c:pt idx="612">
                  <c:v>2296.1815058086063</c:v>
                </c:pt>
                <c:pt idx="613">
                  <c:v>2302.5223332464934</c:v>
                </c:pt>
                <c:pt idx="614">
                  <c:v>2308.7550554007885</c:v>
                </c:pt>
                <c:pt idx="615">
                  <c:v>2314.8799713512012</c:v>
                </c:pt>
                <c:pt idx="616">
                  <c:v>2320.8973741155405</c:v>
                </c:pt>
                <c:pt idx="617">
                  <c:v>2326.8075507343874</c:v>
                </c:pt>
                <c:pt idx="618">
                  <c:v>2332.6107823541747</c:v>
                </c:pt>
                <c:pt idx="619">
                  <c:v>2338.3073443087433</c:v>
                </c:pt>
                <c:pt idx="620">
                  <c:v>2343.897506199452</c:v>
                </c:pt>
                <c:pt idx="621">
                  <c:v>2349.3815319739124</c:v>
                </c:pt>
                <c:pt idx="622">
                  <c:v>2354.7596800034285</c:v>
                </c:pt>
                <c:pt idx="623">
                  <c:v>2360.0322031592145</c:v>
                </c:pt>
                <c:pt idx="624">
                  <c:v>2365.19934888747</c:v>
                </c:pt>
                <c:pt idx="625">
                  <c:v>2370.2613592833927</c:v>
                </c:pt>
                <c:pt idx="626">
                  <c:v>2375.2184711642089</c:v>
                </c:pt>
                <c:pt idx="627">
                  <c:v>2380.0709161413074</c:v>
                </c:pt>
                <c:pt idx="628">
                  <c:v>2384.8189206915604</c:v>
                </c:pt>
                <c:pt idx="629">
                  <c:v>2389.4627062279201</c:v>
                </c:pt>
                <c:pt idx="630">
                  <c:v>2394.0024891693834</c:v>
                </c:pt>
                <c:pt idx="631">
                  <c:v>2398.4384810104157</c:v>
                </c:pt>
                <c:pt idx="632">
                  <c:v>2402.7708883899354</c:v>
                </c:pt>
                <c:pt idx="633">
                  <c:v>2406.9999131599557</c:v>
                </c:pt>
                <c:pt idx="634">
                  <c:v>2411.1257524539892</c:v>
                </c:pt>
                <c:pt idx="635">
                  <c:v>2415.148598755326</c:v>
                </c:pt>
                <c:pt idx="636">
                  <c:v>2419.068639965295</c:v>
                </c:pt>
                <c:pt idx="637">
                  <c:v>2422.8860594716275</c:v>
                </c:pt>
                <c:pt idx="638">
                  <c:v>2426.6010362170427</c:v>
                </c:pt>
                <c:pt idx="639">
                  <c:v>2430.2137447681848</c:v>
                </c:pt>
                <c:pt idx="640">
                  <c:v>2433.7243553850403</c:v>
                </c:pt>
                <c:pt idx="641">
                  <c:v>2437.1330340909717</c:v>
                </c:pt>
                <c:pt idx="642">
                  <c:v>2440.4399427435119</c:v>
                </c:pt>
                <c:pt idx="643">
                  <c:v>2443.6452391060625</c:v>
                </c:pt>
                <c:pt idx="644">
                  <c:v>2446.7490769206502</c:v>
                </c:pt>
                <c:pt idx="645">
                  <c:v>2449.7516059818931</c:v>
                </c:pt>
                <c:pt idx="646">
                  <c:v>2452.6529722123423</c:v>
                </c:pt>
                <c:pt idx="647">
                  <c:v>2455.4533177393578</c:v>
                </c:pt>
                <c:pt idx="648">
                  <c:v>2458.152780973689</c:v>
                </c:pt>
                <c:pt idx="649">
                  <c:v>2460.7514966899312</c:v>
                </c:pt>
                <c:pt idx="650">
                  <c:v>2463.2495961090235</c:v>
                </c:pt>
                <c:pt idx="651">
                  <c:v>2465.647206982967</c:v>
                </c:pt>
                <c:pt idx="652">
                  <c:v>2467.9444536819292</c:v>
                </c:pt>
                <c:pt idx="653">
                  <c:v>2470.1414572839076</c:v>
                </c:pt>
                <c:pt idx="654">
                  <c:v>2472.2383356671121</c:v>
                </c:pt>
                <c:pt idx="655">
                  <c:v>2474.235203605228</c:v>
                </c:pt>
                <c:pt idx="656">
                  <c:v>2476.1321728657099</c:v>
                </c:pt>
                <c:pt idx="657">
                  <c:v>2477.929352311241</c:v>
                </c:pt>
                <c:pt idx="658">
                  <c:v>2479.6268480044873</c:v>
                </c:pt>
                <c:pt idx="659">
                  <c:v>2481.2247633162556</c:v>
                </c:pt>
                <c:pt idx="660">
                  <c:v>2482.7231990371388</c:v>
                </c:pt>
                <c:pt idx="661">
                  <c:v>2484.1222534927242</c:v>
                </c:pt>
                <c:pt idx="662">
                  <c:v>2485.422022662397</c:v>
                </c:pt>
                <c:pt idx="663">
                  <c:v>2486.6226003017582</c:v>
                </c:pt>
                <c:pt idx="664">
                  <c:v>2487.7240780686329</c:v>
                </c:pt>
                <c:pt idx="665">
                  <c:v>2488.7265456526188</c:v>
                </c:pt>
                <c:pt idx="666">
                  <c:v>2489.6300909080819</c:v>
                </c:pt>
                <c:pt idx="667">
                  <c:v>2490.4347999904735</c:v>
                </c:pt>
                <c:pt idx="668">
                  <c:v>2491.1407574957989</c:v>
                </c:pt>
                <c:pt idx="669">
                  <c:v>2491.7480466030279</c:v>
                </c:pt>
                <c:pt idx="670">
                  <c:v>2492.2567492192002</c:v>
                </c:pt>
                <c:pt idx="671">
                  <c:v>2492.6669461269371</c:v>
                </c:pt>
                <c:pt idx="672">
                  <c:v>2492.9787171340326</c:v>
                </c:pt>
                <c:pt idx="673">
                  <c:v>2493.1921412247634</c:v>
                </c:pt>
                <c:pt idx="674">
                  <c:v>2493.3072967125281</c:v>
                </c:pt>
                <c:pt idx="675">
                  <c:v>2493.3242613933926</c:v>
                </c:pt>
                <c:pt idx="676">
                  <c:v>2493.2431127001055</c:v>
                </c:pt>
                <c:pt idx="677">
                  <c:v>2493.0639278561243</c:v>
                </c:pt>
                <c:pt idx="678">
                  <c:v>2492.786784029186</c:v>
                </c:pt>
                <c:pt idx="679">
                  <c:v>2492.4117584839501</c:v>
                </c:pt>
                <c:pt idx="680">
                  <c:v>2491.9389287332515</c:v>
                </c:pt>
                <c:pt idx="681">
                  <c:v>2491.3683726874997</c:v>
                </c:pt>
                <c:pt idx="682">
                  <c:v>2490.7001688017858</c:v>
                </c:pt>
                <c:pt idx="683">
                  <c:v>2489.9343962202761</c:v>
                </c:pt>
                <c:pt idx="684">
                  <c:v>2489.0711349174958</c:v>
                </c:pt>
                <c:pt idx="685">
                  <c:v>2488.1104658361432</c:v>
                </c:pt>
                <c:pt idx="686">
                  <c:v>2487.0524710211048</c:v>
                </c:pt>
                <c:pt idx="687">
                  <c:v>2485.8972337493751</c:v>
                </c:pt>
                <c:pt idx="688">
                  <c:v>2484.6448386556399</c:v>
                </c:pt>
                <c:pt idx="689">
                  <c:v>2483.2953718533013</c:v>
                </c:pt>
                <c:pt idx="690">
                  <c:v>2481.8489210507769</c:v>
                </c:pt>
                <c:pt idx="691">
                  <c:v>2480.3055756629465</c:v>
                </c:pt>
                <c:pt idx="692">
                  <c:v>2478.6654269176438</c:v>
                </c:pt>
                <c:pt idx="693">
                  <c:v>2476.9285679571467</c:v>
                </c:pt>
                <c:pt idx="694">
                  <c:v>2475.0950939346371</c:v>
                </c:pt>
                <c:pt idx="695">
                  <c:v>2473.165102105645</c:v>
                </c:pt>
                <c:pt idx="696">
                  <c:v>2471.1386919145102</c:v>
                </c:pt>
                <c:pt idx="697">
                  <c:v>2469.0159650759306</c:v>
                </c:pt>
                <c:pt idx="698">
                  <c:v>2466.7970256516783</c:v>
                </c:pt>
                <c:pt idx="699">
                  <c:v>2464.4819801225926</c:v>
                </c:pt>
                <c:pt idx="700">
                  <c:v>2462.0709374559683</c:v>
                </c:pt>
                <c:pt idx="701">
                  <c:v>2459.5640091684759</c:v>
                </c:pt>
                <c:pt idx="702">
                  <c:v>2456.9613093847565</c:v>
                </c:pt>
                <c:pt idx="703">
                  <c:v>2454.2629548918462</c:v>
                </c:pt>
                <c:pt idx="704">
                  <c:v>2451.4690651895849</c:v>
                </c:pt>
                <c:pt idx="705">
                  <c:v>2448.5797625371761</c:v>
                </c:pt>
                <c:pt idx="706">
                  <c:v>2445.5951719960553</c:v>
                </c:pt>
                <c:pt idx="707">
                  <c:v>2442.5154214692343</c:v>
                </c:pt>
                <c:pt idx="708">
                  <c:v>2439.3406417372821</c:v>
                </c:pt>
                <c:pt idx="709">
                  <c:v>2436.0709664911001</c:v>
                </c:pt>
                <c:pt idx="710">
                  <c:v>2432.7065323616503</c:v>
                </c:pt>
                <c:pt idx="711">
                  <c:v>2429.2474789467879</c:v>
                </c:pt>
                <c:pt idx="712">
                  <c:v>2425.6939488353423</c:v>
                </c:pt>
                <c:pt idx="713">
                  <c:v>2422.046087628592</c:v>
                </c:pt>
                <c:pt idx="714">
                  <c:v>2418.3040439592664</c:v>
                </c:pt>
                <c:pt idx="715">
                  <c:v>2414.4679695082082</c:v>
                </c:pt>
                <c:pt idx="716">
                  <c:v>2410.5380190188157</c:v>
                </c:pt>
                <c:pt idx="717">
                  <c:v>2406.51435030939</c:v>
                </c:pt>
                <c:pt idx="718">
                  <c:v>2402.3971242834914</c:v>
                </c:pt>
                <c:pt idx="719">
                  <c:v>2398.1865049384191</c:v>
                </c:pt>
                <c:pt idx="720">
                  <c:v>2393.8826593719104</c:v>
                </c:pt>
                <c:pt idx="721">
                  <c:v>2389.4857577871553</c:v>
                </c:pt>
                <c:pt idx="722">
                  <c:v>2384.9959734962167</c:v>
                </c:pt>
                <c:pt idx="723">
                  <c:v>2380.4134829219406</c:v>
                </c:pt>
                <c:pt idx="724">
                  <c:v>2375.7384655984356</c:v>
                </c:pt>
                <c:pt idx="725">
                  <c:v>2370.9711041701948</c:v>
                </c:pt>
                <c:pt idx="726">
                  <c:v>2366.1115843899352</c:v>
                </c:pt>
                <c:pt idx="727">
                  <c:v>2361.1600951152127</c:v>
                </c:pt>
                <c:pt idx="728">
                  <c:v>2356.1168283038828</c:v>
                </c:pt>
                <c:pt idx="729">
                  <c:v>2350.9819790084571</c:v>
                </c:pt>
                <c:pt idx="730">
                  <c:v>2345.7557453694167</c:v>
                </c:pt>
                <c:pt idx="731">
                  <c:v>2340.4383286075295</c:v>
                </c:pt>
                <c:pt idx="732">
                  <c:v>2335.0299330152188</c:v>
                </c:pt>
                <c:pt idx="733">
                  <c:v>2329.5307659470318</c:v>
                </c:pt>
                <c:pt idx="734">
                  <c:v>2323.9410378092452</c:v>
                </c:pt>
                <c:pt idx="735">
                  <c:v>2318.2609620486501</c:v>
                </c:pt>
                <c:pt idx="736">
                  <c:v>2312.4907551405527</c:v>
                </c:pt>
                <c:pt idx="737">
                  <c:v>2306.6306365760265</c:v>
                </c:pt>
                <c:pt idx="738">
                  <c:v>2300.6808288484453</c:v>
                </c:pt>
                <c:pt idx="739">
                  <c:v>2294.64155743933</c:v>
                </c:pt>
                <c:pt idx="740">
                  <c:v>2288.513050803539</c:v>
                </c:pt>
                <c:pt idx="741">
                  <c:v>2282.2955403538272</c:v>
                </c:pt>
                <c:pt idx="742">
                  <c:v>2275.9892604447978</c:v>
                </c:pt>
                <c:pt idx="743">
                  <c:v>2269.5944483562757</c:v>
                </c:pt>
                <c:pt idx="744">
                  <c:v>2263.1113442761202</c:v>
                </c:pt>
                <c:pt idx="745">
                  <c:v>2256.5401912825014</c:v>
                </c:pt>
                <c:pt idx="746">
                  <c:v>2249.8812353256581</c:v>
                </c:pt>
                <c:pt idx="747">
                  <c:v>2243.1347252091591</c:v>
                </c:pt>
                <c:pt idx="748">
                  <c:v>2236.3009125706835</c:v>
                </c:pt>
                <c:pt idx="749">
                  <c:v>2229.3800518623375</c:v>
                </c:pt>
                <c:pt idx="750">
                  <c:v>2222.3724003305256</c:v>
                </c:pt>
                <c:pt idx="751">
                  <c:v>2215.2782179953902</c:v>
                </c:pt>
                <c:pt idx="752">
                  <c:v>2208.0977676298339</c:v>
                </c:pt>
                <c:pt idx="753">
                  <c:v>2200.83131473814</c:v>
                </c:pt>
                <c:pt idx="754">
                  <c:v>2193.4791275342036</c:v>
                </c:pt>
                <c:pt idx="755">
                  <c:v>2186.0414769193849</c:v>
                </c:pt>
                <c:pt idx="756">
                  <c:v>2178.518636459999</c:v>
                </c:pt>
                <c:pt idx="757">
                  <c:v>2170.9108823644547</c:v>
                </c:pt>
                <c:pt idx="758">
                  <c:v>2163.2184934600473</c:v>
                </c:pt>
                <c:pt idx="759">
                  <c:v>2155.441751169426</c:v>
                </c:pt>
                <c:pt idx="760">
                  <c:v>2147.580939486736</c:v>
                </c:pt>
                <c:pt idx="761">
                  <c:v>2139.6363449534538</c:v>
                </c:pt>
                <c:pt idx="762">
                  <c:v>2131.6082566339182</c:v>
                </c:pt>
                <c:pt idx="763">
                  <c:v>2123.4969660905726</c:v>
                </c:pt>
                <c:pt idx="764">
                  <c:v>2115.3027673589231</c:v>
                </c:pt>
                <c:pt idx="765">
                  <c:v>2107.0259569222226</c:v>
                </c:pt>
                <c:pt idx="766">
                  <c:v>2098.6668336858897</c:v>
                </c:pt>
                <c:pt idx="767">
                  <c:v>2090.2256989516695</c:v>
                </c:pt>
                <c:pt idx="768">
                  <c:v>2081.7028563915455</c:v>
                </c:pt>
                <c:pt idx="769">
                  <c:v>2073.0986120214097</c:v>
                </c:pt>
                <c:pt idx="770">
                  <c:v>2064.4132741744988</c:v>
                </c:pt>
                <c:pt idx="771">
                  <c:v>2055.647153474602</c:v>
                </c:pt>
                <c:pt idx="772">
                  <c:v>2046.8005628090509</c:v>
                </c:pt>
                <c:pt idx="773">
                  <c:v>2037.8738173014965</c:v>
                </c:pt>
                <c:pt idx="774">
                  <c:v>2028.8672342844793</c:v>
                </c:pt>
                <c:pt idx="775">
                  <c:v>2019.7811332718022</c:v>
                </c:pt>
                <c:pt idx="776">
                  <c:v>2010.615835930709</c:v>
                </c:pt>
                <c:pt idx="777">
                  <c:v>2001.3716660538789</c:v>
                </c:pt>
                <c:pt idx="778">
                  <c:v>1992.0489495312411</c:v>
                </c:pt>
                <c:pt idx="779">
                  <c:v>1982.6480143216149</c:v>
                </c:pt>
                <c:pt idx="780">
                  <c:v>1973.1691904241854</c:v>
                </c:pt>
                <c:pt idx="781">
                  <c:v>1963.6128098498164</c:v>
                </c:pt>
                <c:pt idx="782">
                  <c:v>1953.979206592209</c:v>
                </c:pt>
                <c:pt idx="783">
                  <c:v>1944.2687165989121</c:v>
                </c:pt>
                <c:pt idx="784">
                  <c:v>1934.4816777421893</c:v>
                </c:pt>
                <c:pt idx="785">
                  <c:v>1924.6184297897489</c:v>
                </c:pt>
                <c:pt idx="786">
                  <c:v>1914.679314375343</c:v>
                </c:pt>
                <c:pt idx="787">
                  <c:v>1904.6646749692397</c:v>
                </c:pt>
                <c:pt idx="788">
                  <c:v>1894.5748568485772</c:v>
                </c:pt>
                <c:pt idx="789">
                  <c:v>1884.4102070676017</c:v>
                </c:pt>
                <c:pt idx="790">
                  <c:v>1874.171074427798</c:v>
                </c:pt>
                <c:pt idx="791">
                  <c:v>1863.8578094479149</c:v>
                </c:pt>
                <c:pt idx="792">
                  <c:v>1853.4707643338941</c:v>
                </c:pt>
                <c:pt idx="793">
                  <c:v>1843.0102929487064</c:v>
                </c:pt>
                <c:pt idx="794">
                  <c:v>1832.4767507821002</c:v>
                </c:pt>
                <c:pt idx="795">
                  <c:v>1821.8704949202679</c:v>
                </c:pt>
                <c:pt idx="796">
                  <c:v>1811.1918840154365</c:v>
                </c:pt>
                <c:pt idx="797">
                  <c:v>1800.4412782553861</c:v>
                </c:pt>
                <c:pt idx="798">
                  <c:v>1789.6190393329034</c:v>
                </c:pt>
                <c:pt idx="799">
                  <c:v>1778.7255304151722</c:v>
                </c:pt>
                <c:pt idx="800">
                  <c:v>1767.7611161131099</c:v>
                </c:pt>
                <c:pt idx="801">
                  <c:v>1756.7261624506525</c:v>
                </c:pt>
                <c:pt idx="802">
                  <c:v>1745.6210368339941</c:v>
                </c:pt>
                <c:pt idx="803">
                  <c:v>1734.4461080207857</c:v>
                </c:pt>
                <c:pt idx="804">
                  <c:v>1723.2017460892982</c:v>
                </c:pt>
                <c:pt idx="805">
                  <c:v>1711.8883224075551</c:v>
                </c:pt>
                <c:pt idx="806">
                  <c:v>1700.506209602439</c:v>
                </c:pt>
                <c:pt idx="807">
                  <c:v>1689.0557815287789</c:v>
                </c:pt>
                <c:pt idx="808">
                  <c:v>1677.5374132384193</c:v>
                </c:pt>
                <c:pt idx="809">
                  <c:v>1665.95148094928</c:v>
                </c:pt>
                <c:pt idx="810">
                  <c:v>1654.2983620144096</c:v>
                </c:pt>
                <c:pt idx="811">
                  <c:v>1642.5784348910367</c:v>
                </c:pt>
                <c:pt idx="812">
                  <c:v>1630.792079109626</c:v>
                </c:pt>
                <c:pt idx="813">
                  <c:v>1618.9396752429413</c:v>
                </c:pt>
                <c:pt idx="814">
                  <c:v>1607.0216048751222</c:v>
                </c:pt>
                <c:pt idx="815">
                  <c:v>1595.0382505707776</c:v>
                </c:pt>
                <c:pt idx="816">
                  <c:v>1582.9899958441031</c:v>
                </c:pt>
                <c:pt idx="817">
                  <c:v>1570.8772251280232</c:v>
                </c:pt>
                <c:pt idx="818">
                  <c:v>1558.7003237433669</c:v>
                </c:pt>
                <c:pt idx="819">
                  <c:v>1546.4596778680777</c:v>
                </c:pt>
                <c:pt idx="820">
                  <c:v>1534.1556745064661</c:v>
                </c:pt>
                <c:pt idx="821">
                  <c:v>1521.7887014585051</c:v>
                </c:pt>
                <c:pt idx="822">
                  <c:v>1509.3591472891771</c:v>
                </c:pt>
                <c:pt idx="823">
                  <c:v>1496.8674012978743</c:v>
                </c:pt>
                <c:pt idx="824">
                  <c:v>1484.3138534878565</c:v>
                </c:pt>
                <c:pt idx="825">
                  <c:v>1471.6988945357734</c:v>
                </c:pt>
                <c:pt idx="826">
                  <c:v>1459.0229157612534</c:v>
                </c:pt>
                <c:pt idx="827">
                  <c:v>1446.2863090965632</c:v>
                </c:pt>
                <c:pt idx="828">
                  <c:v>1433.489467056344</c:v>
                </c:pt>
                <c:pt idx="829">
                  <c:v>1420.6327827074272</c:v>
                </c:pt>
                <c:pt idx="830">
                  <c:v>1407.7166496387349</c:v>
                </c:pt>
                <c:pt idx="831">
                  <c:v>1394.7414619312681</c:v>
                </c:pt>
                <c:pt idx="832">
                  <c:v>1381.7076141281871</c:v>
                </c:pt>
                <c:pt idx="833">
                  <c:v>1368.6155012049892</c:v>
                </c:pt>
                <c:pt idx="834">
                  <c:v>1355.4655185397871</c:v>
                </c:pt>
                <c:pt idx="835">
                  <c:v>1342.258061883691</c:v>
                </c:pt>
                <c:pt idx="836">
                  <c:v>1328.9935273312992</c:v>
                </c:pt>
                <c:pt idx="837">
                  <c:v>1315.6723112913028</c:v>
                </c:pt>
                <c:pt idx="838">
                  <c:v>1302.2948104572044</c:v>
                </c:pt>
                <c:pt idx="839">
                  <c:v>1288.861421778159</c:v>
                </c:pt>
                <c:pt idx="840">
                  <c:v>1275.3725424299373</c:v>
                </c:pt>
                <c:pt idx="841">
                  <c:v>1261.8285697860185</c:v>
                </c:pt>
                <c:pt idx="842">
                  <c:v>1248.2299013888123</c:v>
                </c:pt>
                <c:pt idx="843">
                  <c:v>1234.5769349210175</c:v>
                </c:pt>
                <c:pt idx="844">
                  <c:v>1220.8700681771195</c:v>
                </c:pt>
                <c:pt idx="845">
                  <c:v>1207.1096990350291</c:v>
                </c:pt>
                <c:pt idx="846">
                  <c:v>1193.2962254278671</c:v>
                </c:pt>
                <c:pt idx="847">
                  <c:v>1179.4300453158992</c:v>
                </c:pt>
                <c:pt idx="848">
                  <c:v>1165.5115566586223</c:v>
                </c:pt>
                <c:pt idx="849">
                  <c:v>1151.5411573870083</c:v>
                </c:pt>
                <c:pt idx="850">
                  <c:v>1137.5192453759055</c:v>
                </c:pt>
                <c:pt idx="851">
                  <c:v>1123.4462184166043</c:v>
                </c:pt>
                <c:pt idx="852">
                  <c:v>1109.3224741895679</c:v>
                </c:pt>
                <c:pt idx="853">
                  <c:v>1095.1484102373315</c:v>
                </c:pt>
                <c:pt idx="854">
                  <c:v>1080.9244239375762</c:v>
                </c:pt>
                <c:pt idx="855">
                  <c:v>1066.6509124763743</c:v>
                </c:pt>
                <c:pt idx="856">
                  <c:v>1052.3282728216168</c:v>
                </c:pt>
                <c:pt idx="857">
                  <c:v>1037.9569016966186</c:v>
                </c:pt>
                <c:pt idx="858">
                  <c:v>1023.5371955539113</c:v>
                </c:pt>
                <c:pt idx="859">
                  <c:v>1009.0695505492196</c:v>
                </c:pt>
                <c:pt idx="860">
                  <c:v>994.55436251563037</c:v>
                </c:pt>
                <c:pt idx="861">
                  <c:v>979.99202693795257</c:v>
                </c:pt>
                <c:pt idx="862">
                  <c:v>965.38293892727302</c:v>
                </c:pt>
                <c:pt idx="863">
                  <c:v>950.72749319571005</c:v>
                </c:pt>
                <c:pt idx="864">
                  <c:v>936.02608403136765</c:v>
                </c:pt>
                <c:pt idx="865">
                  <c:v>921.27910527349241</c:v>
                </c:pt>
                <c:pt idx="866">
                  <c:v>906.48695028783629</c:v>
                </c:pt>
                <c:pt idx="867">
                  <c:v>891.65001194222714</c:v>
                </c:pt>
                <c:pt idx="868">
                  <c:v>876.76868258234913</c:v>
                </c:pt>
                <c:pt idx="869">
                  <c:v>861.84335400773648</c:v>
                </c:pt>
                <c:pt idx="870">
                  <c:v>846.8744174479815</c:v>
                </c:pt>
                <c:pt idx="871">
                  <c:v>831.86226353915947</c:v>
                </c:pt>
                <c:pt idx="872">
                  <c:v>816.80728230047293</c:v>
                </c:pt>
                <c:pt idx="873">
                  <c:v>801.70986311111733</c:v>
                </c:pt>
                <c:pt idx="874">
                  <c:v>786.57039468736934</c:v>
                </c:pt>
                <c:pt idx="875">
                  <c:v>771.38926505990071</c:v>
                </c:pt>
                <c:pt idx="876">
                  <c:v>756.16686155131913</c:v>
                </c:pt>
                <c:pt idx="877">
                  <c:v>740.90357075393774</c:v>
                </c:pt>
                <c:pt idx="878">
                  <c:v>725.59977850777545</c:v>
                </c:pt>
                <c:pt idx="879">
                  <c:v>710.25586987878989</c:v>
                </c:pt>
                <c:pt idx="880">
                  <c:v>694.87222913734377</c:v>
                </c:pt>
                <c:pt idx="881">
                  <c:v>679.44923973690743</c:v>
                </c:pt>
                <c:pt idx="882">
                  <c:v>663.98728429299808</c:v>
                </c:pt>
                <c:pt idx="883">
                  <c:v>648.48674456235824</c:v>
                </c:pt>
                <c:pt idx="884">
                  <c:v>632.94800142237375</c:v>
                </c:pt>
                <c:pt idx="885">
                  <c:v>617.37143485073341</c:v>
                </c:pt>
                <c:pt idx="886">
                  <c:v>601.75742390533139</c:v>
                </c:pt>
                <c:pt idx="887">
                  <c:v>586.10634670441357</c:v>
                </c:pt>
                <c:pt idx="888">
                  <c:v>570.418580406969</c:v>
                </c:pt>
                <c:pt idx="889">
                  <c:v>554.69450119336761</c:v>
                </c:pt>
                <c:pt idx="890">
                  <c:v>538.93448424624535</c:v>
                </c:pt>
                <c:pt idx="891">
                  <c:v>523.13890373163792</c:v>
                </c:pt>
                <c:pt idx="892">
                  <c:v>507.30813278036345</c:v>
                </c:pt>
                <c:pt idx="893">
                  <c:v>491.44254346965533</c:v>
                </c:pt>
                <c:pt idx="894">
                  <c:v>475.54250680504663</c:v>
                </c:pt>
                <c:pt idx="895">
                  <c:v>459.6083927025058</c:v>
                </c:pt>
                <c:pt idx="896">
                  <c:v>443.6405699708252</c:v>
                </c:pt>
                <c:pt idx="897">
                  <c:v>427.63940629426281</c:v>
                </c:pt>
                <c:pt idx="898">
                  <c:v>411.6052682154376</c:v>
                </c:pt>
                <c:pt idx="899">
                  <c:v>395.53852111847954</c:v>
                </c:pt>
                <c:pt idx="900">
                  <c:v>379.43952921243419</c:v>
                </c:pt>
                <c:pt idx="901">
                  <c:v>363.3086555149228</c:v>
                </c:pt>
                <c:pt idx="902">
                  <c:v>347.14626183605793</c:v>
                </c:pt>
                <c:pt idx="903">
                  <c:v>330.95270876261537</c:v>
                </c:pt>
                <c:pt idx="904">
                  <c:v>314.72835564246191</c:v>
                </c:pt>
                <c:pt idx="905">
                  <c:v>298.47356056924002</c:v>
                </c:pt>
                <c:pt idx="906">
                  <c:v>282.1886803673089</c:v>
                </c:pt>
                <c:pt idx="907">
                  <c:v>265.87407057694259</c:v>
                </c:pt>
                <c:pt idx="908">
                  <c:v>249.53008543978461</c:v>
                </c:pt>
                <c:pt idx="909">
                  <c:v>233.1570778845597</c:v>
                </c:pt>
                <c:pt idx="910">
                  <c:v>216.75539951304216</c:v>
                </c:pt>
                <c:pt idx="911">
                  <c:v>200.32540058628106</c:v>
                </c:pt>
                <c:pt idx="912">
                  <c:v>183.86743001108186</c:v>
                </c:pt>
                <c:pt idx="913">
                  <c:v>167.38183532674441</c:v>
                </c:pt>
                <c:pt idx="914">
                  <c:v>150.86896269205704</c:v>
                </c:pt>
                <c:pt idx="915">
                  <c:v>134.32915687254652</c:v>
                </c:pt>
                <c:pt idx="916">
                  <c:v>117.7627612279833</c:v>
                </c:pt>
                <c:pt idx="917">
                  <c:v>101.17011770014194</c:v>
                </c:pt>
                <c:pt idx="918">
                  <c:v>84.551566800816019</c:v>
                </c:pt>
                <c:pt idx="919">
                  <c:v>67.907447600087224</c:v>
                </c:pt>
                <c:pt idx="920">
                  <c:v>51.238097714847981</c:v>
                </c:pt>
                <c:pt idx="921">
                  <c:v>34.543853297577002</c:v>
                </c:pt>
                <c:pt idx="922">
                  <c:v>17.825049025367225</c:v>
                </c:pt>
                <c:pt idx="923">
                  <c:v>1.0820180892053841</c:v>
                </c:pt>
                <c:pt idx="924">
                  <c:v>-15.684907816497475</c:v>
                </c:pt>
                <c:pt idx="925">
                  <c:v>-15.701686618852097</c:v>
                </c:pt>
                <c:pt idx="926">
                  <c:v>-15.718465444606622</c:v>
                </c:pt>
                <c:pt idx="927">
                  <c:v>-15.735244293760722</c:v>
                </c:pt>
                <c:pt idx="928">
                  <c:v>-15.75202316631407</c:v>
                </c:pt>
                <c:pt idx="929">
                  <c:v>-15.768802062266339</c:v>
                </c:pt>
                <c:pt idx="930">
                  <c:v>-15.785580981617201</c:v>
                </c:pt>
                <c:pt idx="931">
                  <c:v>-15.80235992436633</c:v>
                </c:pt>
                <c:pt idx="932">
                  <c:v>-15.819138890513399</c:v>
                </c:pt>
                <c:pt idx="933">
                  <c:v>-15.835917880058078</c:v>
                </c:pt>
                <c:pt idx="934">
                  <c:v>-15.852696893000042</c:v>
                </c:pt>
                <c:pt idx="935">
                  <c:v>-15.869475929338964</c:v>
                </c:pt>
                <c:pt idx="936">
                  <c:v>-15.886254989074517</c:v>
                </c:pt>
                <c:pt idx="937">
                  <c:v>-15.903034072206372</c:v>
                </c:pt>
                <c:pt idx="938">
                  <c:v>-15.919813178734204</c:v>
                </c:pt>
                <c:pt idx="939">
                  <c:v>-15.936592308657684</c:v>
                </c:pt>
                <c:pt idx="940">
                  <c:v>-15.953371461976484</c:v>
                </c:pt>
                <c:pt idx="941">
                  <c:v>-15.97015063869028</c:v>
                </c:pt>
                <c:pt idx="942">
                  <c:v>-15.986929838798742</c:v>
                </c:pt>
                <c:pt idx="943">
                  <c:v>-16.003709062301546</c:v>
                </c:pt>
                <c:pt idx="944">
                  <c:v>-16.02048830919836</c:v>
                </c:pt>
                <c:pt idx="945">
                  <c:v>-16.037267579488862</c:v>
                </c:pt>
                <c:pt idx="946">
                  <c:v>-16.054046873172723</c:v>
                </c:pt>
                <c:pt idx="947">
                  <c:v>-16.070826190249612</c:v>
                </c:pt>
                <c:pt idx="948">
                  <c:v>-16.087605530719205</c:v>
                </c:pt>
                <c:pt idx="949">
                  <c:v>-16.104384894581177</c:v>
                </c:pt>
                <c:pt idx="950">
                  <c:v>-16.121164281835195</c:v>
                </c:pt>
                <c:pt idx="951">
                  <c:v>-16.137943692480938</c:v>
                </c:pt>
                <c:pt idx="952">
                  <c:v>-16.154723126518075</c:v>
                </c:pt>
                <c:pt idx="953">
                  <c:v>-16.171502583946282</c:v>
                </c:pt>
                <c:pt idx="954">
                  <c:v>-16.188282064765229</c:v>
                </c:pt>
                <c:pt idx="955">
                  <c:v>-16.205061568974589</c:v>
                </c:pt>
                <c:pt idx="956">
                  <c:v>-16.221841096574035</c:v>
                </c:pt>
                <c:pt idx="957">
                  <c:v>-16.238620647563241</c:v>
                </c:pt>
                <c:pt idx="958">
                  <c:v>-16.25540022194188</c:v>
                </c:pt>
                <c:pt idx="959">
                  <c:v>-16.272179819709624</c:v>
                </c:pt>
                <c:pt idx="960">
                  <c:v>-16.288959440866144</c:v>
                </c:pt>
                <c:pt idx="961">
                  <c:v>-16.305739085411115</c:v>
                </c:pt>
                <c:pt idx="962">
                  <c:v>-16.322518753344209</c:v>
                </c:pt>
                <c:pt idx="963">
                  <c:v>-16.339298444665101</c:v>
                </c:pt>
                <c:pt idx="964">
                  <c:v>-16.35607815937346</c:v>
                </c:pt>
                <c:pt idx="965">
                  <c:v>-16.372857897468961</c:v>
                </c:pt>
                <c:pt idx="966">
                  <c:v>-16.389637658951276</c:v>
                </c:pt>
                <c:pt idx="967">
                  <c:v>-16.406417443820082</c:v>
                </c:pt>
                <c:pt idx="968">
                  <c:v>-16.423197252075045</c:v>
                </c:pt>
                <c:pt idx="969">
                  <c:v>-16.439977083715842</c:v>
                </c:pt>
                <c:pt idx="970">
                  <c:v>-16.456756938742146</c:v>
                </c:pt>
                <c:pt idx="971">
                  <c:v>-16.473536817153629</c:v>
                </c:pt>
                <c:pt idx="972">
                  <c:v>-16.490316718949963</c:v>
                </c:pt>
                <c:pt idx="973">
                  <c:v>-16.507096644130822</c:v>
                </c:pt>
                <c:pt idx="974">
                  <c:v>-16.523876592695878</c:v>
                </c:pt>
                <c:pt idx="975">
                  <c:v>-16.540656564644806</c:v>
                </c:pt>
                <c:pt idx="976">
                  <c:v>-16.557436559977276</c:v>
                </c:pt>
                <c:pt idx="977">
                  <c:v>-16.574216578692962</c:v>
                </c:pt>
                <c:pt idx="978">
                  <c:v>-16.590996620791536</c:v>
                </c:pt>
                <c:pt idx="979">
                  <c:v>-16.607776686272672</c:v>
                </c:pt>
                <c:pt idx="980">
                  <c:v>-16.624556775136043</c:v>
                </c:pt>
                <c:pt idx="981">
                  <c:v>-16.641336887381321</c:v>
                </c:pt>
                <c:pt idx="982">
                  <c:v>-16.658117023008181</c:v>
                </c:pt>
                <c:pt idx="983">
                  <c:v>-16.674897182016295</c:v>
                </c:pt>
                <c:pt idx="984">
                  <c:v>-16.691677364405333</c:v>
                </c:pt>
                <c:pt idx="985">
                  <c:v>-16.708457570174971</c:v>
                </c:pt>
                <c:pt idx="986">
                  <c:v>-16.72523779932488</c:v>
                </c:pt>
                <c:pt idx="987">
                  <c:v>-16.742018051854735</c:v>
                </c:pt>
                <c:pt idx="988">
                  <c:v>-16.758798327764207</c:v>
                </c:pt>
                <c:pt idx="989">
                  <c:v>-16.775578627052969</c:v>
                </c:pt>
                <c:pt idx="990">
                  <c:v>-16.792358949720693</c:v>
                </c:pt>
                <c:pt idx="991">
                  <c:v>-16.809139295767054</c:v>
                </c:pt>
                <c:pt idx="992">
                  <c:v>-16.825919665191723</c:v>
                </c:pt>
                <c:pt idx="993">
                  <c:v>-16.842700057994374</c:v>
                </c:pt>
                <c:pt idx="994">
                  <c:v>-16.859480474174681</c:v>
                </c:pt>
                <c:pt idx="995">
                  <c:v>-16.876260913732317</c:v>
                </c:pt>
                <c:pt idx="996">
                  <c:v>-16.893041376666954</c:v>
                </c:pt>
                <c:pt idx="997">
                  <c:v>-16.909821862978262</c:v>
                </c:pt>
                <c:pt idx="998">
                  <c:v>-16.926602372665918</c:v>
                </c:pt>
                <c:pt idx="999">
                  <c:v>-16.943382905729592</c:v>
                </c:pt>
                <c:pt idx="1000">
                  <c:v>-16.960163462168957</c:v>
                </c:pt>
              </c:numCache>
            </c:numRef>
          </c:yVal>
          <c:smooth val="1"/>
          <c:extLst>
            <c:ext xmlns:c16="http://schemas.microsoft.com/office/drawing/2014/chart" uri="{C3380CC4-5D6E-409C-BE32-E72D297353CC}">
              <c16:uniqueId val="{00000001-3E62-4C97-96C4-8569A9DB8ECB}"/>
            </c:ext>
          </c:extLst>
        </c:ser>
        <c:ser>
          <c:idx val="2"/>
          <c:order val="2"/>
          <c:tx>
            <c:strRef>
              <c:f>Trajecto!$B$107</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0</c:v>
                </c:pt>
                <c:pt idx="1">
                  <c:v>6.5123094918114621E-5</c:v>
                </c:pt>
                <c:pt idx="2">
                  <c:v>4.2488242924534284E-4</c:v>
                </c:pt>
                <c:pt idx="3">
                  <c:v>1.3119003432585578E-3</c:v>
                </c:pt>
                <c:pt idx="4">
                  <c:v>2.8626887034418225E-3</c:v>
                </c:pt>
                <c:pt idx="5">
                  <c:v>5.2138617293519063E-3</c:v>
                </c:pt>
                <c:pt idx="6">
                  <c:v>8.5021515086477449E-3</c:v>
                </c:pt>
                <c:pt idx="7">
                  <c:v>1.2864423413201102E-2</c:v>
                </c:pt>
                <c:pt idx="8">
                  <c:v>1.8437691421634678E-2</c:v>
                </c:pt>
                <c:pt idx="9">
                  <c:v>2.5359133353511212E-2</c:v>
                </c:pt>
                <c:pt idx="10">
                  <c:v>3.3766106020279227E-2</c:v>
                </c:pt>
                <c:pt idx="11">
                  <c:v>4.3756900129986058E-2</c:v>
                </c:pt>
                <c:pt idx="12">
                  <c:v>5.5351409042305517E-2</c:v>
                </c:pt>
                <c:pt idx="13">
                  <c:v>6.8529971224079847E-2</c:v>
                </c:pt>
                <c:pt idx="14">
                  <c:v>8.3272290984132441E-2</c:v>
                </c:pt>
                <c:pt idx="15">
                  <c:v>9.9557737101413218E-2</c:v>
                </c:pt>
                <c:pt idx="16">
                  <c:v>0.11736564205836292</c:v>
                </c:pt>
                <c:pt idx="17">
                  <c:v>0.13667530262097169</c:v>
                </c:pt>
                <c:pt idx="18">
                  <c:v>0.15746598041853035</c:v>
                </c:pt>
                <c:pt idx="19">
                  <c:v>0.17971690252300429</c:v>
                </c:pt>
                <c:pt idx="20">
                  <c:v>0.20340726202796072</c:v>
                </c:pt>
                <c:pt idx="21">
                  <c:v>0.22851621862697996</c:v>
                </c:pt>
                <c:pt idx="22">
                  <c:v>0.25502289919148236</c:v>
                </c:pt>
                <c:pt idx="23">
                  <c:v>0.2829063983479021</c:v>
                </c:pt>
                <c:pt idx="24">
                  <c:v>0.31214577905414076</c:v>
                </c:pt>
                <c:pt idx="25">
                  <c:v>0.34272007317523245</c:v>
                </c:pt>
                <c:pt idx="26">
                  <c:v>0.37460828205815394</c:v>
                </c:pt>
                <c:pt idx="27">
                  <c:v>0.40779465020164973</c:v>
                </c:pt>
                <c:pt idx="28">
                  <c:v>0.44227394721126667</c:v>
                </c:pt>
                <c:pt idx="29">
                  <c:v>0.47804620727208241</c:v>
                </c:pt>
                <c:pt idx="30">
                  <c:v>0.51511146004645958</c:v>
                </c:pt>
                <c:pt idx="31">
                  <c:v>0.55346973066891936</c:v>
                </c:pt>
                <c:pt idx="32">
                  <c:v>0.59312103974109032</c:v>
                </c:pt>
                <c:pt idx="33">
                  <c:v>0.634065403326734</c:v>
                </c:pt>
                <c:pt idx="34">
                  <c:v>0.67630283294684612</c:v>
                </c:pt>
                <c:pt idx="35">
                  <c:v>0.71983333557483398</c:v>
                </c:pt>
                <c:pt idx="36">
                  <c:v>0.76474082948383737</c:v>
                </c:pt>
                <c:pt idx="37">
                  <c:v>0.81111188414689017</c:v>
                </c:pt>
                <c:pt idx="38">
                  <c:v>0.85895177799049927</c:v>
                </c:pt>
                <c:pt idx="39">
                  <c:v>0.90826569656634382</c:v>
                </c:pt>
                <c:pt idx="40">
                  <c:v>0.95905870003008331</c:v>
                </c:pt>
                <c:pt idx="41">
                  <c:v>1.0113357289405205</c:v>
                </c:pt>
                <c:pt idx="42">
                  <c:v>1.0651016096374739</c:v>
                </c:pt>
                <c:pt idx="43">
                  <c:v>1.1203610592385032</c:v>
                </c:pt>
                <c:pt idx="44">
                  <c:v>1.1771186902899375</c:v>
                </c:pt>
                <c:pt idx="45">
                  <c:v>1.2353790151036066</c:v>
                </c:pt>
                <c:pt idx="46">
                  <c:v>1.2951464498071688</c:v>
                </c:pt>
                <c:pt idx="47">
                  <c:v>1.3564253181328909</c:v>
                </c:pt>
                <c:pt idx="48">
                  <c:v>1.4192198549670787</c:v>
                </c:pt>
                <c:pt idx="49">
                  <c:v>1.4835342096800388</c:v>
                </c:pt>
                <c:pt idx="50">
                  <c:v>1.5493724492544252</c:v>
                </c:pt>
                <c:pt idx="51">
                  <c:v>1.6167385612280272</c:v>
                </c:pt>
                <c:pt idx="52">
                  <c:v>1.6856364564654891</c:v>
                </c:pt>
                <c:pt idx="53">
                  <c:v>1.7560699717720525</c:v>
                </c:pt>
                <c:pt idx="54">
                  <c:v>1.8280428723611777</c:v>
                </c:pt>
                <c:pt idx="55">
                  <c:v>1.9015588541868069</c:v>
                </c:pt>
                <c:pt idx="56">
                  <c:v>1.9766215461500516</c:v>
                </c:pt>
                <c:pt idx="57">
                  <c:v>2.0532345121892144</c:v>
                </c:pt>
                <c:pt idx="58">
                  <c:v>2.1314012532612781</c:v>
                </c:pt>
                <c:pt idx="59">
                  <c:v>2.2111252092222911</c:v>
                </c:pt>
                <c:pt idx="60">
                  <c:v>2.2924097606134555</c:v>
                </c:pt>
                <c:pt idx="61">
                  <c:v>2.3752582303591545</c:v>
                </c:pt>
                <c:pt idx="62">
                  <c:v>2.4596738853826476</c:v>
                </c:pt>
                <c:pt idx="63">
                  <c:v>2.5456599381447038</c:v>
                </c:pt>
                <c:pt idx="64">
                  <c:v>2.6332195481100231</c:v>
                </c:pt>
                <c:pt idx="65">
                  <c:v>2.7223558231459228</c:v>
                </c:pt>
                <c:pt idx="66">
                  <c:v>2.8130718208574184</c:v>
                </c:pt>
                <c:pt idx="67">
                  <c:v>2.9053705498625217</c:v>
                </c:pt>
                <c:pt idx="68">
                  <c:v>2.9992549710112946</c:v>
                </c:pt>
                <c:pt idx="69">
                  <c:v>3.0947279985519311</c:v>
                </c:pt>
                <c:pt idx="70">
                  <c:v>3.1917925012469177</c:v>
                </c:pt>
                <c:pt idx="71">
                  <c:v>3.2904513034420932</c:v>
                </c:pt>
                <c:pt idx="72">
                  <c:v>3.3907071200286838</c:v>
                </c:pt>
                <c:pt idx="73">
                  <c:v>3.4925624909091733</c:v>
                </c:pt>
                <c:pt idx="74">
                  <c:v>3.5960198473998877</c:v>
                </c:pt>
                <c:pt idx="75">
                  <c:v>3.7010815790625271</c:v>
                </c:pt>
                <c:pt idx="76">
                  <c:v>3.807750034598075</c:v>
                </c:pt>
                <c:pt idx="77">
                  <c:v>3.9160275227059538</c:v>
                </c:pt>
                <c:pt idx="78">
                  <c:v>4.0259163129102244</c:v>
                </c:pt>
                <c:pt idx="79">
                  <c:v>4.1374186363545178</c:v>
                </c:pt>
                <c:pt idx="80">
                  <c:v>4.2505366865672665</c:v>
                </c:pt>
                <c:pt idx="81">
                  <c:v>4.3652726201987226</c:v>
                </c:pt>
                <c:pt idx="82">
                  <c:v>4.4816285577311517</c:v>
                </c:pt>
                <c:pt idx="83">
                  <c:v>4.5996065841634914</c:v>
                </c:pt>
                <c:pt idx="84">
                  <c:v>4.7192087496717212</c:v>
                </c:pt>
                <c:pt idx="85">
                  <c:v>4.8404370702460779</c:v>
                </c:pt>
                <c:pt idx="86">
                  <c:v>4.9632935283062087</c:v>
                </c:pt>
                <c:pt idx="87">
                  <c:v>5.0877800732952894</c:v>
                </c:pt>
                <c:pt idx="88">
                  <c:v>5.2138986222540584</c:v>
                </c:pt>
                <c:pt idx="89">
                  <c:v>5.3416510603756917</c:v>
                </c:pt>
                <c:pt idx="90">
                  <c:v>5.4710392415423597</c:v>
                </c:pt>
                <c:pt idx="91">
                  <c:v>5.6020649888442948</c:v>
                </c:pt>
                <c:pt idx="92">
                  <c:v>5.7347300950821225</c:v>
                </c:pt>
                <c:pt idx="93">
                  <c:v>5.8690363232531855</c:v>
                </c:pt>
                <c:pt idx="94">
                  <c:v>6.004985407022553</c:v>
                </c:pt>
                <c:pt idx="95">
                  <c:v>6.1425790511793554</c:v>
                </c:pt>
                <c:pt idx="96">
                  <c:v>6.2818189320790676</c:v>
                </c:pt>
                <c:pt idx="97">
                  <c:v>6.4227066980723251</c:v>
                </c:pt>
                <c:pt idx="98">
                  <c:v>6.5652439699208198</c:v>
                </c:pt>
                <c:pt idx="99">
                  <c:v>6.7094323412008148</c:v>
                </c:pt>
                <c:pt idx="100">
                  <c:v>6.8552733786947613</c:v>
                </c:pt>
                <c:pt idx="101">
                  <c:v>7.0027686227715105</c:v>
                </c:pt>
                <c:pt idx="102">
                  <c:v>7.1519195877555575</c:v>
                </c:pt>
                <c:pt idx="103">
                  <c:v>7.3027277622857545</c:v>
                </c:pt>
                <c:pt idx="104">
                  <c:v>7.4551946096639021</c:v>
                </c:pt>
                <c:pt idx="105">
                  <c:v>7.6093215681936046</c:v>
                </c:pt>
                <c:pt idx="106">
                  <c:v>7.7651100515097626</c:v>
                </c:pt>
                <c:pt idx="107">
                  <c:v>7.9225614488990574</c:v>
                </c:pt>
                <c:pt idx="108">
                  <c:v>8.0816771256117619</c:v>
                </c:pt>
                <c:pt idx="109">
                  <c:v>8.2424584231652034</c:v>
                </c:pt>
                <c:pt idx="110">
                  <c:v>8.404906659639181</c:v>
                </c:pt>
                <c:pt idx="111">
                  <c:v>8.5690231299636359</c:v>
                </c:pt>
                <c:pt idx="112">
                  <c:v>8.7348091061988509</c:v>
                </c:pt>
                <c:pt idx="113">
                  <c:v>8.9022658378084465</c:v>
                </c:pt>
                <c:pt idx="114">
                  <c:v>9.0713945519254366</c:v>
                </c:pt>
                <c:pt idx="115">
                  <c:v>9.2421964536115748</c:v>
                </c:pt>
                <c:pt idx="116">
                  <c:v>9.4146727261102434</c:v>
                </c:pt>
                <c:pt idx="117">
                  <c:v>9.5888245310930937</c:v>
                </c:pt>
                <c:pt idx="118">
                  <c:v>9.764653008900666</c:v>
                </c:pt>
                <c:pt idx="119">
                  <c:v>9.9421592787771793</c:v>
                </c:pt>
                <c:pt idx="120">
                  <c:v>10.121344439099703</c:v>
                </c:pt>
                <c:pt idx="121">
                  <c:v>10.302209567601894</c:v>
                </c:pt>
                <c:pt idx="122">
                  <c:v>10.484755721592471</c:v>
                </c:pt>
                <c:pt idx="123">
                  <c:v>10.668983938168624</c:v>
                </c:pt>
                <c:pt idx="124">
                  <c:v>10.854895234424502</c:v>
                </c:pt>
                <c:pt idx="125">
                  <c:v>11.042490607654941</c:v>
                </c:pt>
                <c:pt idx="126">
                  <c:v>11.23177103555461</c:v>
                </c:pt>
                <c:pt idx="127">
                  <c:v>11.422737476412694</c:v>
                </c:pt>
                <c:pt idx="128">
                  <c:v>11.615390869303271</c:v>
                </c:pt>
                <c:pt idx="129">
                  <c:v>11.809731805495845</c:v>
                </c:pt>
                <c:pt idx="130">
                  <c:v>12.005760198461957</c:v>
                </c:pt>
                <c:pt idx="131">
                  <c:v>12.203475610989555</c:v>
                </c:pt>
                <c:pt idx="132">
                  <c:v>12.402877583717872</c:v>
                </c:pt>
                <c:pt idx="133">
                  <c:v>12.603965635356587</c:v>
                </c:pt>
                <c:pt idx="134">
                  <c:v>12.806739262900573</c:v>
                </c:pt>
                <c:pt idx="135">
                  <c:v>13.011197941840342</c:v>
                </c:pt>
                <c:pt idx="136">
                  <c:v>13.21734112636836</c:v>
                </c:pt>
                <c:pt idx="137">
                  <c:v>13.425168249581322</c:v>
                </c:pt>
                <c:pt idx="138">
                  <c:v>13.634678723678535</c:v>
                </c:pt>
                <c:pt idx="139">
                  <c:v>13.845871940156524</c:v>
                </c:pt>
                <c:pt idx="140">
                  <c:v>14.058747269999975</c:v>
                </c:pt>
                <c:pt idx="141">
                  <c:v>14.273304063869125</c:v>
                </c:pt>
                <c:pt idx="142">
                  <c:v>14.489541652283705</c:v>
                </c:pt>
                <c:pt idx="143">
                  <c:v>14.707459345803553</c:v>
                </c:pt>
                <c:pt idx="144">
                  <c:v>14.927056435205962</c:v>
                </c:pt>
                <c:pt idx="145">
                  <c:v>15.148332191659907</c:v>
                </c:pt>
                <c:pt idx="146">
                  <c:v>15.371285866897196</c:v>
                </c:pt>
                <c:pt idx="147">
                  <c:v>15.595916693380667</c:v>
                </c:pt>
                <c:pt idx="148">
                  <c:v>15.822223884469503</c:v>
                </c:pt>
                <c:pt idx="149">
                  <c:v>16.050206634581748</c:v>
                </c:pt>
                <c:pt idx="150">
                  <c:v>16.279864119354102</c:v>
                </c:pt>
                <c:pt idx="151">
                  <c:v>16.51119549579909</c:v>
                </c:pt>
                <c:pt idx="152">
                  <c:v>16.744199902459645</c:v>
                </c:pt>
                <c:pt idx="153">
                  <c:v>16.97887645956121</c:v>
                </c:pt>
                <c:pt idx="154">
                  <c:v>17.215224269161418</c:v>
                </c:pt>
                <c:pt idx="155">
                  <c:v>17.453242415297396</c:v>
                </c:pt>
                <c:pt idx="156">
                  <c:v>17.692929964130805</c:v>
                </c:pt>
                <c:pt idx="157">
                  <c:v>17.93428596409062</c:v>
                </c:pt>
                <c:pt idx="158">
                  <c:v>18.177309446013762</c:v>
                </c:pt>
                <c:pt idx="159">
                  <c:v>18.421999423283612</c:v>
                </c:pt>
                <c:pt idx="160">
                  <c:v>18.668354891966462</c:v>
                </c:pt>
                <c:pt idx="161">
                  <c:v>18.91637483094598</c:v>
                </c:pt>
                <c:pt idx="162">
                  <c:v>19.166058202055726</c:v>
                </c:pt>
                <c:pt idx="163">
                  <c:v>19.41740395020976</c:v>
                </c:pt>
                <c:pt idx="164">
                  <c:v>19.670411003531424</c:v>
                </c:pt>
                <c:pt idx="165">
                  <c:v>19.925078273480302</c:v>
                </c:pt>
                <c:pt idx="166">
                  <c:v>20.18140465497746</c:v>
                </c:pt>
                <c:pt idx="167">
                  <c:v>20.439389026528946</c:v>
                </c:pt>
                <c:pt idx="168">
                  <c:v>20.699030250347651</c:v>
                </c:pt>
                <c:pt idx="169">
                  <c:v>20.960327172473544</c:v>
                </c:pt>
                <c:pt idx="170">
                  <c:v>21.223278622892327</c:v>
                </c:pt>
                <c:pt idx="171">
                  <c:v>21.487883415652536</c:v>
                </c:pt>
                <c:pt idx="172">
                  <c:v>21.754140348981181</c:v>
                </c:pt>
                <c:pt idx="173">
                  <c:v>22.022048205397869</c:v>
                </c:pt>
                <c:pt idx="174">
                  <c:v>22.291605751827539</c:v>
                </c:pt>
                <c:pt idx="175">
                  <c:v>22.56281173971179</c:v>
                </c:pt>
                <c:pt idx="176">
                  <c:v>22.83566490511885</c:v>
                </c:pt>
                <c:pt idx="177">
                  <c:v>23.11016396885222</c:v>
                </c:pt>
                <c:pt idx="178">
                  <c:v>23.38630763655803</c:v>
                </c:pt>
                <c:pt idx="179">
                  <c:v>23.66409459883112</c:v>
                </c:pt>
                <c:pt idx="180">
                  <c:v>23.943523531319904</c:v>
                </c:pt>
                <c:pt idx="181">
                  <c:v>24.224593094830013</c:v>
                </c:pt>
                <c:pt idx="182">
                  <c:v>24.507301935426781</c:v>
                </c:pt>
                <c:pt idx="183">
                  <c:v>24.791648684536568</c:v>
                </c:pt>
                <c:pt idx="184">
                  <c:v>25.077631959046979</c:v>
                </c:pt>
                <c:pt idx="185">
                  <c:v>25.36525036140597</c:v>
                </c:pt>
                <c:pt idx="186">
                  <c:v>25.654502479719895</c:v>
                </c:pt>
                <c:pt idx="187">
                  <c:v>25.945386887850511</c:v>
                </c:pt>
                <c:pt idx="188">
                  <c:v>26.237902145510947</c:v>
                </c:pt>
                <c:pt idx="189">
                  <c:v>26.532046798360703</c:v>
                </c:pt>
                <c:pt idx="190">
                  <c:v>26.827819378099633</c:v>
                </c:pt>
                <c:pt idx="191">
                  <c:v>27.125218402561018</c:v>
                </c:pt>
                <c:pt idx="192">
                  <c:v>27.424242375803665</c:v>
                </c:pt>
                <c:pt idx="193">
                  <c:v>27.724889788203136</c:v>
                </c:pt>
                <c:pt idx="194">
                  <c:v>28.027159116542045</c:v>
                </c:pt>
                <c:pt idx="195">
                  <c:v>28.331048824099511</c:v>
                </c:pt>
                <c:pt idx="196">
                  <c:v>28.63655736073974</c:v>
                </c:pt>
                <c:pt idx="197">
                  <c:v>28.943683162999793</c:v>
                </c:pt>
                <c:pt idx="198">
                  <c:v>29.252424654176508</c:v>
                </c:pt>
                <c:pt idx="199">
                  <c:v>29.562780244412647</c:v>
                </c:pt>
                <c:pt idx="200">
                  <c:v>29.874748330782246</c:v>
                </c:pt>
                <c:pt idx="201">
                  <c:v>30.188327297375213</c:v>
                </c:pt>
                <c:pt idx="202">
                  <c:v>30.50351551538116</c:v>
                </c:pt>
                <c:pt idx="203">
                  <c:v>30.820311343172502</c:v>
                </c:pt>
                <c:pt idx="204">
                  <c:v>31.138713126386854</c:v>
                </c:pt>
                <c:pt idx="205">
                  <c:v>31.458719198008705</c:v>
                </c:pt>
                <c:pt idx="206">
                  <c:v>31.780327793162098</c:v>
                </c:pt>
                <c:pt idx="207">
                  <c:v>32.103536963665519</c:v>
                </c:pt>
                <c:pt idx="208">
                  <c:v>32.428344663105868</c:v>
                </c:pt>
                <c:pt idx="209">
                  <c:v>32.7547488321526</c:v>
                </c:pt>
                <c:pt idx="210">
                  <c:v>33.082747398643463</c:v>
                </c:pt>
                <c:pt idx="211">
                  <c:v>33.412338277669548</c:v>
                </c:pt>
                <c:pt idx="212">
                  <c:v>33.743519371659673</c:v>
                </c:pt>
                <c:pt idx="213">
                  <c:v>34.076288570464087</c:v>
                </c:pt>
                <c:pt idx="214">
                  <c:v>34.410643751437568</c:v>
                </c:pt>
                <c:pt idx="215">
                  <c:v>34.746582779521873</c:v>
                </c:pt>
                <c:pt idx="216">
                  <c:v>35.084103507327541</c:v>
                </c:pt>
                <c:pt idx="217">
                  <c:v>35.423203775215143</c:v>
                </c:pt>
                <c:pt idx="218">
                  <c:v>35.763881411375877</c:v>
                </c:pt>
                <c:pt idx="219">
                  <c:v>36.106134231911604</c:v>
                </c:pt>
                <c:pt idx="220">
                  <c:v>36.449960040914334</c:v>
                </c:pt>
                <c:pt idx="221">
                  <c:v>36.795356630545086</c:v>
                </c:pt>
                <c:pt idx="222">
                  <c:v>37.142321781112251</c:v>
                </c:pt>
                <c:pt idx="223">
                  <c:v>37.490853261149383</c:v>
                </c:pt>
                <c:pt idx="224">
                  <c:v>37.840948827492447</c:v>
                </c:pt>
                <c:pt idx="225">
                  <c:v>38.192606225356563</c:v>
                </c:pt>
                <c:pt idx="226">
                  <c:v>38.545823188412236</c:v>
                </c:pt>
                <c:pt idx="227">
                  <c:v>38.900597438861034</c:v>
                </c:pt>
                <c:pt idx="228">
                  <c:v>39.256926687510827</c:v>
                </c:pt>
                <c:pt idx="229">
                  <c:v>39.614808633850494</c:v>
                </c:pt>
                <c:pt idx="230">
                  <c:v>39.974240966124164</c:v>
                </c:pt>
                <c:pt idx="231">
                  <c:v>40.335221361404983</c:v>
                </c:pt>
                <c:pt idx="232">
                  <c:v>40.697747485668408</c:v>
                </c:pt>
                <c:pt idx="233">
                  <c:v>41.061816993865051</c:v>
                </c:pt>
                <c:pt idx="234">
                  <c:v>41.427427529993054</c:v>
                </c:pt>
                <c:pt idx="235">
                  <c:v>41.794576727170046</c:v>
                </c:pt>
                <c:pt idx="236">
                  <c:v>42.163262207704641</c:v>
                </c:pt>
                <c:pt idx="237">
                  <c:v>42.533481583167521</c:v>
                </c:pt>
                <c:pt idx="238">
                  <c:v>42.905232454462087</c:v>
                </c:pt>
                <c:pt idx="239">
                  <c:v>43.278512411894688</c:v>
                </c:pt>
                <c:pt idx="240">
                  <c:v>43.653319035244451</c:v>
                </c:pt>
                <c:pt idx="241">
                  <c:v>44.029649893832712</c:v>
                </c:pt>
                <c:pt idx="242">
                  <c:v>44.407502245115431</c:v>
                </c:pt>
                <c:pt idx="243">
                  <c:v>44.786872732571624</c:v>
                </c:pt>
                <c:pt idx="244">
                  <c:v>45.167757686415143</c:v>
                </c:pt>
                <c:pt idx="245">
                  <c:v>45.550153425021421</c:v>
                </c:pt>
                <c:pt idx="246">
                  <c:v>45.934056255018298</c:v>
                </c:pt>
                <c:pt idx="247">
                  <c:v>46.31946247137634</c:v>
                </c:pt>
                <c:pt idx="248">
                  <c:v>46.706368357498611</c:v>
                </c:pt>
                <c:pt idx="249">
                  <c:v>47.094770185309933</c:v>
                </c:pt>
                <c:pt idx="250">
                  <c:v>47.484664215345617</c:v>
                </c:pt>
                <c:pt idx="251">
                  <c:v>47.876046696839708</c:v>
                </c:pt>
                <c:pt idx="252">
                  <c:v>48.268913867812721</c:v>
                </c:pt>
                <c:pt idx="253">
                  <c:v>48.663261955158859</c:v>
                </c:pt>
                <c:pt idx="254">
                  <c:v>49.059087174732781</c:v>
                </c:pt>
                <c:pt idx="255">
                  <c:v>49.456385731435844</c:v>
                </c:pt>
                <c:pt idx="256">
                  <c:v>49.855153819301911</c:v>
                </c:pt>
                <c:pt idx="257">
                  <c:v>50.255387621582642</c:v>
                </c:pt>
                <c:pt idx="258">
                  <c:v>50.657083310832341</c:v>
                </c:pt>
                <c:pt idx="259">
                  <c:v>51.060237048992356</c:v>
                </c:pt>
                <c:pt idx="260">
                  <c:v>51.464844987474983</c:v>
                </c:pt>
                <c:pt idx="261">
                  <c:v>51.870903267246938</c:v>
                </c:pt>
                <c:pt idx="262">
                  <c:v>52.278408018912387</c:v>
                </c:pt>
                <c:pt idx="263">
                  <c:v>52.687355362795529</c:v>
                </c:pt>
                <c:pt idx="264">
                  <c:v>53.097741409022738</c:v>
                </c:pt>
                <c:pt idx="265">
                  <c:v>53.509562257604266</c:v>
                </c:pt>
                <c:pt idx="266">
                  <c:v>53.922813998515515</c:v>
                </c:pt>
                <c:pt idx="267">
                  <c:v>54.337492711777898</c:v>
                </c:pt>
                <c:pt idx="268">
                  <c:v>54.753594467539273</c:v>
                </c:pt>
                <c:pt idx="269">
                  <c:v>55.171115326153945</c:v>
                </c:pt>
                <c:pt idx="270">
                  <c:v>55.590051338262271</c:v>
                </c:pt>
                <c:pt idx="271">
                  <c:v>56.010398544869844</c:v>
                </c:pt>
                <c:pt idx="272">
                  <c:v>56.432152977426277</c:v>
                </c:pt>
                <c:pt idx="273">
                  <c:v>56.85531065790358</c:v>
                </c:pt>
                <c:pt idx="274">
                  <c:v>57.279867598874148</c:v>
                </c:pt>
                <c:pt idx="275">
                  <c:v>57.705819803588319</c:v>
                </c:pt>
                <c:pt idx="276">
                  <c:v>58.133163266051589</c:v>
                </c:pt>
                <c:pt idx="277">
                  <c:v>58.561893971101398</c:v>
                </c:pt>
                <c:pt idx="278">
                  <c:v>58.992007894483557</c:v>
                </c:pt>
                <c:pt idx="279">
                  <c:v>59.423501002928248</c:v>
                </c:pt>
                <c:pt idx="280">
                  <c:v>59.856369254225704</c:v>
                </c:pt>
                <c:pt idx="281">
                  <c:v>60.290608597301457</c:v>
                </c:pt>
                <c:pt idx="282">
                  <c:v>60.726214972291245</c:v>
                </c:pt>
                <c:pt idx="283">
                  <c:v>61.163184310615527</c:v>
                </c:pt>
                <c:pt idx="284">
                  <c:v>61.601512897142548</c:v>
                </c:pt>
                <c:pt idx="285">
                  <c:v>62.041197733029307</c:v>
                </c:pt>
                <c:pt idx="286">
                  <c:v>62.482236174447365</c:v>
                </c:pt>
                <c:pt idx="287">
                  <c:v>62.924625570618304</c:v>
                </c:pt>
                <c:pt idx="288">
                  <c:v>63.368363263863159</c:v>
                </c:pt>
                <c:pt idx="289">
                  <c:v>63.813446589651683</c:v>
                </c:pt>
                <c:pt idx="290">
                  <c:v>64.259872876651329</c:v>
                </c:pt>
                <c:pt idx="291">
                  <c:v>64.707639446776113</c:v>
                </c:pt>
                <c:pt idx="292">
                  <c:v>65.156743615235186</c:v>
                </c:pt>
                <c:pt idx="293">
                  <c:v>65.607182690581311</c:v>
                </c:pt>
                <c:pt idx="294">
                  <c:v>66.058953974759063</c:v>
                </c:pt>
                <c:pt idx="295">
                  <c:v>66.512054763152832</c:v>
                </c:pt>
                <c:pt idx="296">
                  <c:v>66.96648234463467</c:v>
                </c:pt>
                <c:pt idx="297">
                  <c:v>67.422234001611955</c:v>
                </c:pt>
                <c:pt idx="298">
                  <c:v>67.879307010074768</c:v>
                </c:pt>
                <c:pt idx="299">
                  <c:v>68.337698639643222</c:v>
                </c:pt>
                <c:pt idx="300">
                  <c:v>68.797406153614432</c:v>
                </c:pt>
                <c:pt idx="301">
                  <c:v>69.25842680900945</c:v>
                </c:pt>
                <c:pt idx="302">
                  <c:v>69.720757856619898</c:v>
                </c:pt>
                <c:pt idx="303">
                  <c:v>70.184396541054483</c:v>
                </c:pt>
                <c:pt idx="304">
                  <c:v>70.649340100785295</c:v>
                </c:pt>
                <c:pt idx="305">
                  <c:v>71.11558576819391</c:v>
                </c:pt>
                <c:pt idx="306">
                  <c:v>71.583130769617327</c:v>
                </c:pt>
                <c:pt idx="307">
                  <c:v>72.051972325393706</c:v>
                </c:pt>
                <c:pt idx="308">
                  <c:v>72.522107649907937</c:v>
                </c:pt>
                <c:pt idx="309">
                  <c:v>72.993533951637019</c:v>
                </c:pt>
                <c:pt idx="310">
                  <c:v>73.466248433195261</c:v>
                </c:pt>
                <c:pt idx="311">
                  <c:v>73.940248291379291</c:v>
                </c:pt>
                <c:pt idx="312">
                  <c:v>74.415530717212903</c:v>
                </c:pt>
                <c:pt idx="313">
                  <c:v>74.892092895991695</c:v>
                </c:pt>
                <c:pt idx="314">
                  <c:v>75.369932007327563</c:v>
                </c:pt>
                <c:pt idx="315">
                  <c:v>75.849045225193009</c:v>
                </c:pt>
                <c:pt idx="316">
                  <c:v>76.329429717965255</c:v>
                </c:pt>
                <c:pt idx="317">
                  <c:v>76.811082648470162</c:v>
                </c:pt>
                <c:pt idx="318">
                  <c:v>77.294001174026079</c:v>
                </c:pt>
                <c:pt idx="319">
                  <c:v>77.778182446487349</c:v>
                </c:pt>
                <c:pt idx="320">
                  <c:v>78.263623612287816</c:v>
                </c:pt>
                <c:pt idx="321">
                  <c:v>78.750321812484017</c:v>
                </c:pt>
                <c:pt idx="322">
                  <c:v>79.238274182798293</c:v>
                </c:pt>
                <c:pt idx="323">
                  <c:v>79.727477853661654</c:v>
                </c:pt>
                <c:pt idx="324">
                  <c:v>80.217929950256575</c:v>
                </c:pt>
                <c:pt idx="325">
                  <c:v>80.709627592559499</c:v>
                </c:pt>
                <c:pt idx="326">
                  <c:v>81.202567918081954</c:v>
                </c:pt>
                <c:pt idx="327">
                  <c:v>81.696748104646375</c:v>
                </c:pt>
                <c:pt idx="328">
                  <c:v>82.192165347764018</c:v>
                </c:pt>
                <c:pt idx="329">
                  <c:v>82.688816837977029</c:v>
                </c:pt>
                <c:pt idx="330">
                  <c:v>83.186699760899032</c:v>
                </c:pt>
                <c:pt idx="331">
                  <c:v>83.685811297255484</c:v>
                </c:pt>
                <c:pt idx="332">
                  <c:v>84.186148622923866</c:v>
                </c:pt>
                <c:pt idx="333">
                  <c:v>84.687708908973761</c:v>
                </c:pt>
                <c:pt idx="334">
                  <c:v>85.190489321706721</c:v>
                </c:pt>
                <c:pt idx="335">
                  <c:v>85.694487022696038</c:v>
                </c:pt>
                <c:pt idx="336">
                  <c:v>86.199699168826285</c:v>
                </c:pt>
                <c:pt idx="337">
                  <c:v>86.706122912332759</c:v>
                </c:pt>
                <c:pt idx="338">
                  <c:v>87.213755400840697</c:v>
                </c:pt>
                <c:pt idx="339">
                  <c:v>87.722593777404441</c:v>
                </c:pt>
                <c:pt idx="340">
                  <c:v>88.232635180546353</c:v>
                </c:pt>
                <c:pt idx="341">
                  <c:v>88.743876744295619</c:v>
                </c:pt>
                <c:pt idx="342">
                  <c:v>89.256315598226848</c:v>
                </c:pt>
                <c:pt idx="343">
                  <c:v>89.769948867498599</c:v>
                </c:pt>
                <c:pt idx="344">
                  <c:v>90.284773672891689</c:v>
                </c:pt>
                <c:pt idx="345">
                  <c:v>90.800787130847368</c:v>
                </c:pt>
                <c:pt idx="346">
                  <c:v>91.317986353505319</c:v>
                </c:pt>
                <c:pt idx="347">
                  <c:v>91.836368448741538</c:v>
                </c:pt>
                <c:pt idx="348">
                  <c:v>92.355930520206044</c:v>
                </c:pt>
                <c:pt idx="349">
                  <c:v>92.876669667360403</c:v>
                </c:pt>
                <c:pt idx="350">
                  <c:v>93.398582985515191</c:v>
                </c:pt>
                <c:pt idx="351">
                  <c:v>93.921667565867182</c:v>
                </c:pt>
                <c:pt idx="352">
                  <c:v>94.445920495536498</c:v>
                </c:pt>
                <c:pt idx="353">
                  <c:v>94.971338857603499</c:v>
                </c:pt>
                <c:pt idx="354">
                  <c:v>95.497919731145629</c:v>
                </c:pt>
                <c:pt idx="355">
                  <c:v>96.025660191274028</c:v>
                </c:pt>
                <c:pt idx="356">
                  <c:v>96.554557309170036</c:v>
                </c:pt>
                <c:pt idx="357">
                  <c:v>97.084608152121518</c:v>
                </c:pt>
                <c:pt idx="358">
                  <c:v>97.615809783559058</c:v>
                </c:pt>
                <c:pt idx="359">
                  <c:v>98.148159263092026</c:v>
                </c:pt>
                <c:pt idx="360">
                  <c:v>98.681653646544419</c:v>
                </c:pt>
                <c:pt idx="361">
                  <c:v>99.216289985990628</c:v>
                </c:pt>
                <c:pt idx="362">
                  <c:v>99.752065329791037</c:v>
                </c:pt>
                <c:pt idx="363">
                  <c:v>100.28897672262744</c:v>
                </c:pt>
                <c:pt idx="364">
                  <c:v>100.82702120553832</c:v>
                </c:pt>
                <c:pt idx="365">
                  <c:v>101.36619581595401</c:v>
                </c:pt>
                <c:pt idx="366">
                  <c:v>101.90649817339263</c:v>
                </c:pt>
                <c:pt idx="367">
                  <c:v>102.44792706590039</c:v>
                </c:pt>
                <c:pt idx="368">
                  <c:v>102.99048186506408</c:v>
                </c:pt>
                <c:pt idx="369">
                  <c:v>103.53416194026718</c:v>
                </c:pt>
                <c:pt idx="370">
                  <c:v>104.07896665870106</c:v>
                </c:pt>
                <c:pt idx="371">
                  <c:v>104.62489538537619</c:v>
                </c:pt>
                <c:pt idx="372">
                  <c:v>105.17194748313337</c:v>
                </c:pt>
                <c:pt idx="373">
                  <c:v>105.72012231265482</c:v>
                </c:pt>
                <c:pt idx="374">
                  <c:v>106.26941923247541</c:v>
                </c:pt>
                <c:pt idx="375">
                  <c:v>106.81983759899377</c:v>
                </c:pt>
                <c:pt idx="376">
                  <c:v>107.37137676648335</c:v>
                </c:pt>
                <c:pt idx="377">
                  <c:v>107.92403608710359</c:v>
                </c:pt>
                <c:pt idx="378">
                  <c:v>108.47781491091089</c:v>
                </c:pt>
                <c:pt idx="379">
                  <c:v>109.03271258586979</c:v>
                </c:pt>
                <c:pt idx="380">
                  <c:v>109.58872845786387</c:v>
                </c:pt>
                <c:pt idx="381">
                  <c:v>110.14586123461218</c:v>
                </c:pt>
                <c:pt idx="382">
                  <c:v>110.70410834881766</c:v>
                </c:pt>
                <c:pt idx="383">
                  <c:v>111.26346659364705</c:v>
                </c:pt>
                <c:pt idx="384">
                  <c:v>111.82393275899133</c:v>
                </c:pt>
                <c:pt idx="385">
                  <c:v>112.38550363150136</c:v>
                </c:pt>
                <c:pt idx="386">
                  <c:v>112.94817599462338</c:v>
                </c:pt>
                <c:pt idx="387">
                  <c:v>113.51194662863435</c:v>
                </c:pt>
                <c:pt idx="388">
                  <c:v>114.07681231067714</c:v>
                </c:pt>
                <c:pt idx="389">
                  <c:v>114.64276981479559</c:v>
                </c:pt>
                <c:pt idx="390">
                  <c:v>115.20981591196929</c:v>
                </c:pt>
                <c:pt idx="391">
                  <c:v>115.77794737014838</c:v>
                </c:pt>
                <c:pt idx="392">
                  <c:v>116.34716095428804</c:v>
                </c:pt>
                <c:pt idx="393">
                  <c:v>116.91745342638288</c:v>
                </c:pt>
                <c:pt idx="394">
                  <c:v>117.48882154550112</c:v>
                </c:pt>
                <c:pt idx="395">
                  <c:v>118.06126206781876</c:v>
                </c:pt>
                <c:pt idx="396">
                  <c:v>118.63477174665339</c:v>
                </c:pt>
                <c:pt idx="397">
                  <c:v>119.20934733249796</c:v>
                </c:pt>
                <c:pt idx="398">
                  <c:v>119.78498557305437</c:v>
                </c:pt>
                <c:pt idx="399">
                  <c:v>120.36168321326691</c:v>
                </c:pt>
                <c:pt idx="400">
                  <c:v>120.93943699535552</c:v>
                </c:pt>
                <c:pt idx="401">
                  <c:v>121.51824315551133</c:v>
                </c:pt>
                <c:pt idx="402">
                  <c:v>122.09809692004792</c:v>
                </c:pt>
                <c:pt idx="403">
                  <c:v>122.67899300838069</c:v>
                </c:pt>
                <c:pt idx="404">
                  <c:v>123.26092613656185</c:v>
                </c:pt>
                <c:pt idx="405">
                  <c:v>123.84389101733657</c:v>
                </c:pt>
                <c:pt idx="406">
                  <c:v>124.42788236019858</c:v>
                </c:pt>
                <c:pt idx="407">
                  <c:v>125.01289487144558</c:v>
                </c:pt>
                <c:pt idx="408">
                  <c:v>125.59892325423424</c:v>
                </c:pt>
                <c:pt idx="409">
                  <c:v>126.18596220863483</c:v>
                </c:pt>
                <c:pt idx="410">
                  <c:v>126.77400643168561</c:v>
                </c:pt>
                <c:pt idx="411">
                  <c:v>127.36304782842613</c:v>
                </c:pt>
                <c:pt idx="412">
                  <c:v>127.9530727201568</c:v>
                </c:pt>
                <c:pt idx="413">
                  <c:v>128.54406463175678</c:v>
                </c:pt>
                <c:pt idx="414">
                  <c:v>129.13600708188241</c:v>
                </c:pt>
                <c:pt idx="415">
                  <c:v>129.72888358323289</c:v>
                </c:pt>
                <c:pt idx="416">
                  <c:v>130.32267764281343</c:v>
                </c:pt>
                <c:pt idx="417">
                  <c:v>130.91737276219595</c:v>
                </c:pt>
                <c:pt idx="418">
                  <c:v>131.51295243777696</c:v>
                </c:pt>
                <c:pt idx="419">
                  <c:v>132.10940016103294</c:v>
                </c:pt>
                <c:pt idx="420">
                  <c:v>132.70669782827994</c:v>
                </c:pt>
                <c:pt idx="421">
                  <c:v>133.30482414910654</c:v>
                </c:pt>
                <c:pt idx="422">
                  <c:v>133.90375623652938</c:v>
                </c:pt>
                <c:pt idx="423">
                  <c:v>134.5034711985605</c:v>
                </c:pt>
                <c:pt idx="424">
                  <c:v>135.10394613862985</c:v>
                </c:pt>
                <c:pt idx="425">
                  <c:v>135.70515815600274</c:v>
                </c:pt>
                <c:pt idx="426">
                  <c:v>136.30708434619265</c:v>
                </c:pt>
                <c:pt idx="427">
                  <c:v>136.90970180136915</c:v>
                </c:pt>
                <c:pt idx="428">
                  <c:v>137.51298761076086</c:v>
                </c:pt>
                <c:pt idx="429">
                  <c:v>138.11691886105365</c:v>
                </c:pt>
                <c:pt idx="430">
                  <c:v>138.721472636784</c:v>
                </c:pt>
                <c:pt idx="431">
                  <c:v>139.32662602072747</c:v>
                </c:pt>
                <c:pt idx="432">
                  <c:v>139.93235352262198</c:v>
                </c:pt>
                <c:pt idx="433">
                  <c:v>140.53862450641989</c:v>
                </c:pt>
                <c:pt idx="434">
                  <c:v>141.14540576242595</c:v>
                </c:pt>
                <c:pt idx="435">
                  <c:v>141.752664081082</c:v>
                </c:pt>
                <c:pt idx="436">
                  <c:v>142.36036625369863</c:v>
                </c:pt>
                <c:pt idx="437">
                  <c:v>142.96847907317681</c:v>
                </c:pt>
                <c:pt idx="438">
                  <c:v>143.57696933471934</c:v>
                </c:pt>
                <c:pt idx="439">
                  <c:v>144.18580383653207</c:v>
                </c:pt>
                <c:pt idx="440">
                  <c:v>144.79494938051516</c:v>
                </c:pt>
                <c:pt idx="441">
                  <c:v>145.40437277294401</c:v>
                </c:pt>
                <c:pt idx="442">
                  <c:v>146.01404239170034</c:v>
                </c:pt>
                <c:pt idx="443">
                  <c:v>146.62392975394602</c:v>
                </c:pt>
                <c:pt idx="444">
                  <c:v>147.23400794948964</c:v>
                </c:pt>
                <c:pt idx="445">
                  <c:v>147.84425007357973</c:v>
                </c:pt>
                <c:pt idx="446">
                  <c:v>148.45462922731525</c:v>
                </c:pt>
                <c:pt idx="447">
                  <c:v>149.06511851804959</c:v>
                </c:pt>
                <c:pt idx="448">
                  <c:v>149.67569105978777</c:v>
                </c:pt>
                <c:pt idx="449">
                  <c:v>150.28631997357698</c:v>
                </c:pt>
                <c:pt idx="450">
                  <c:v>150.89697838789027</c:v>
                </c:pt>
                <c:pt idx="451">
                  <c:v>151.50763943900367</c:v>
                </c:pt>
                <c:pt idx="452">
                  <c:v>152.11827627136648</c:v>
                </c:pt>
                <c:pt idx="453">
                  <c:v>152.7288642892168</c:v>
                </c:pt>
                <c:pt idx="454">
                  <c:v>153.33938340834453</c:v>
                </c:pt>
                <c:pt idx="455">
                  <c:v>153.9498158034491</c:v>
                </c:pt>
                <c:pt idx="456">
                  <c:v>154.56014365523157</c:v>
                </c:pt>
                <c:pt idx="457">
                  <c:v>155.17034915052338</c:v>
                </c:pt>
                <c:pt idx="458">
                  <c:v>155.78041448241234</c:v>
                </c:pt>
                <c:pt idx="459">
                  <c:v>156.39032185036567</c:v>
                </c:pt>
                <c:pt idx="460">
                  <c:v>157.00005346034999</c:v>
                </c:pt>
                <c:pt idx="461">
                  <c:v>157.60959355649703</c:v>
                </c:pt>
                <c:pt idx="462">
                  <c:v>158.21893045272444</c:v>
                </c:pt>
                <c:pt idx="463">
                  <c:v>158.8280544994972</c:v>
                </c:pt>
                <c:pt idx="464">
                  <c:v>159.43695605058062</c:v>
                </c:pt>
                <c:pt idx="465">
                  <c:v>160.04562546305172</c:v>
                </c:pt>
                <c:pt idx="466">
                  <c:v>160.65405138758251</c:v>
                </c:pt>
                <c:pt idx="467">
                  <c:v>161.26221905880797</c:v>
                </c:pt>
                <c:pt idx="468">
                  <c:v>161.87009295269164</c:v>
                </c:pt>
                <c:pt idx="469">
                  <c:v>162.47762277223023</c:v>
                </c:pt>
                <c:pt idx="470">
                  <c:v>163.08478584403301</c:v>
                </c:pt>
                <c:pt idx="471">
                  <c:v>163.69158283972735</c:v>
                </c:pt>
                <c:pt idx="472">
                  <c:v>164.29801442921709</c:v>
                </c:pt>
                <c:pt idx="473">
                  <c:v>164.90408128068867</c:v>
                </c:pt>
                <c:pt idx="474">
                  <c:v>165.50978406061708</c:v>
                </c:pt>
                <c:pt idx="475">
                  <c:v>166.11512343377197</c:v>
                </c:pt>
                <c:pt idx="476">
                  <c:v>166.72010006322361</c:v>
                </c:pt>
                <c:pt idx="477">
                  <c:v>167.32471461034896</c:v>
                </c:pt>
                <c:pt idx="478">
                  <c:v>167.92896773483747</c:v>
                </c:pt>
                <c:pt idx="479">
                  <c:v>168.53286009469716</c:v>
                </c:pt>
                <c:pt idx="480">
                  <c:v>169.13639234626038</c:v>
                </c:pt>
                <c:pt idx="481">
                  <c:v>169.73956514418984</c:v>
                </c:pt>
                <c:pt idx="482">
                  <c:v>170.34237914148432</c:v>
                </c:pt>
                <c:pt idx="483">
                  <c:v>170.94483498948455</c:v>
                </c:pt>
                <c:pt idx="484">
                  <c:v>171.54693333787901</c:v>
                </c:pt>
                <c:pt idx="485">
                  <c:v>172.14867483470971</c:v>
                </c:pt>
                <c:pt idx="486">
                  <c:v>172.75006012637792</c:v>
                </c:pt>
                <c:pt idx="487">
                  <c:v>173.35108985764987</c:v>
                </c:pt>
                <c:pt idx="488">
                  <c:v>173.95176467166246</c:v>
                </c:pt>
                <c:pt idx="489">
                  <c:v>174.55208520992898</c:v>
                </c:pt>
                <c:pt idx="490">
                  <c:v>175.15205211234468</c:v>
                </c:pt>
                <c:pt idx="491">
                  <c:v>175.75166601719243</c:v>
                </c:pt>
                <c:pt idx="492">
                  <c:v>176.35092756114835</c:v>
                </c:pt>
                <c:pt idx="493">
                  <c:v>176.94983737928732</c:v>
                </c:pt>
                <c:pt idx="494">
                  <c:v>177.5483961050885</c:v>
                </c:pt>
                <c:pt idx="495">
                  <c:v>178.146604370441</c:v>
                </c:pt>
                <c:pt idx="496">
                  <c:v>178.74446280564922</c:v>
                </c:pt>
                <c:pt idx="497">
                  <c:v>179.34197203943842</c:v>
                </c:pt>
                <c:pt idx="498">
                  <c:v>179.93913269896015</c:v>
                </c:pt>
                <c:pt idx="499">
                  <c:v>180.53594540979768</c:v>
                </c:pt>
                <c:pt idx="500">
                  <c:v>181.13241079597137</c:v>
                </c:pt>
                <c:pt idx="501">
                  <c:v>187.07801002457887</c:v>
                </c:pt>
                <c:pt idx="502">
                  <c:v>192.9892785132819</c:v>
                </c:pt>
                <c:pt idx="503">
                  <c:v>198.86682546491835</c:v>
                </c:pt>
                <c:pt idx="504">
                  <c:v>204.71124516019424</c:v>
                </c:pt>
                <c:pt idx="505">
                  <c:v>210.52311745864375</c:v>
                </c:pt>
                <c:pt idx="506">
                  <c:v>216.30300827860449</c:v>
                </c:pt>
                <c:pt idx="507">
                  <c:v>222.05147005726116</c:v>
                </c:pt>
                <c:pt idx="508">
                  <c:v>227.76904219174972</c:v>
                </c:pt>
                <c:pt idx="509">
                  <c:v>233.45625146225657</c:v>
                </c:pt>
                <c:pt idx="510">
                  <c:v>239.1136124379934</c:v>
                </c:pt>
                <c:pt idx="511">
                  <c:v>244.74162786687828</c:v>
                </c:pt>
                <c:pt idx="512">
                  <c:v>250.3407890497071</c:v>
                </c:pt>
                <c:pt idx="513">
                  <c:v>255.91157619955493</c:v>
                </c:pt>
                <c:pt idx="514">
                  <c:v>261.45445878710615</c:v>
                </c:pt>
                <c:pt idx="515">
                  <c:v>266.96989587257377</c:v>
                </c:pt>
                <c:pt idx="516">
                  <c:v>272.45833642483177</c:v>
                </c:pt>
                <c:pt idx="517">
                  <c:v>277.92021962835128</c:v>
                </c:pt>
                <c:pt idx="518">
                  <c:v>283.35597517849902</c:v>
                </c:pt>
                <c:pt idx="519">
                  <c:v>288.76602356572636</c:v>
                </c:pt>
                <c:pt idx="520">
                  <c:v>294.15077634915065</c:v>
                </c:pt>
                <c:pt idx="521">
                  <c:v>299.51063642000224</c:v>
                </c:pt>
                <c:pt idx="522">
                  <c:v>304.845998255388</c:v>
                </c:pt>
                <c:pt idx="523">
                  <c:v>310.15724816279663</c:v>
                </c:pt>
                <c:pt idx="524">
                  <c:v>315.44476451575144</c:v>
                </c:pt>
                <c:pt idx="525">
                  <c:v>320.70891798099342</c:v>
                </c:pt>
                <c:pt idx="526">
                  <c:v>325.95007173755982</c:v>
                </c:pt>
                <c:pt idx="527">
                  <c:v>331.16858168810421</c:v>
                </c:pt>
                <c:pt idx="528">
                  <c:v>336.3647966627866</c:v>
                </c:pt>
                <c:pt idx="529">
                  <c:v>341.53905861604665</c:v>
                </c:pt>
                <c:pt idx="530">
                  <c:v>346.6917028165567</c:v>
                </c:pt>
                <c:pt idx="531">
                  <c:v>351.8230580306377</c:v>
                </c:pt>
                <c:pt idx="532">
                  <c:v>356.933446699407</c:v>
                </c:pt>
                <c:pt idx="533">
                  <c:v>362.02318510991353</c:v>
                </c:pt>
                <c:pt idx="534">
                  <c:v>367.09258356050498</c:v>
                </c:pt>
                <c:pt idx="535">
                  <c:v>372.14194652065817</c:v>
                </c:pt>
                <c:pt idx="536">
                  <c:v>377.17157278549479</c:v>
                </c:pt>
                <c:pt idx="537">
                  <c:v>382.18175562519252</c:v>
                </c:pt>
                <c:pt idx="538">
                  <c:v>387.17278292949328</c:v>
                </c:pt>
                <c:pt idx="539">
                  <c:v>392.14493734749954</c:v>
                </c:pt>
                <c:pt idx="540">
                  <c:v>397.09849642294228</c:v>
                </c:pt>
                <c:pt idx="541">
                  <c:v>402.03373272509481</c:v>
                </c:pt>
                <c:pt idx="542">
                  <c:v>406.95091397549885</c:v>
                </c:pt>
                <c:pt idx="543">
                  <c:v>411.8503031706623</c:v>
                </c:pt>
                <c:pt idx="544">
                  <c:v>416.73215870088018</c:v>
                </c:pt>
                <c:pt idx="545">
                  <c:v>421.59673446532446</c:v>
                </c:pt>
                <c:pt idx="546">
                  <c:v>426.44427998354087</c:v>
                </c:pt>
                <c:pt idx="547">
                  <c:v>431.27504050348551</c:v>
                </c:pt>
                <c:pt idx="548">
                  <c:v>436.0892571062281</c:v>
                </c:pt>
                <c:pt idx="549">
                  <c:v>440.88716680744278</c:v>
                </c:pt>
                <c:pt idx="550">
                  <c:v>445.66900265580273</c:v>
                </c:pt>
                <c:pt idx="551">
                  <c:v>450.43499382838928</c:v>
                </c:pt>
                <c:pt idx="552">
                  <c:v>455.18536572322159</c:v>
                </c:pt>
                <c:pt idx="553">
                  <c:v>459.92034004900898</c:v>
                </c:pt>
                <c:pt idx="554">
                  <c:v>464.64013491222244</c:v>
                </c:pt>
                <c:pt idx="555">
                  <c:v>469.34496490157915</c:v>
                </c:pt>
                <c:pt idx="556">
                  <c:v>474.03504117002876</c:v>
                </c:pt>
                <c:pt idx="557">
                  <c:v>478.71057151432706</c:v>
                </c:pt>
                <c:pt idx="558">
                  <c:v>483.37176045227881</c:v>
                </c:pt>
                <c:pt idx="559">
                  <c:v>488.01880929772818</c:v>
                </c:pt>
                <c:pt idx="560">
                  <c:v>492.65191623337216</c:v>
                </c:pt>
                <c:pt idx="561">
                  <c:v>497.27127638146851</c:v>
                </c:pt>
                <c:pt idx="562">
                  <c:v>501.87708187250774</c:v>
                </c:pt>
                <c:pt idx="563">
                  <c:v>506.46952191191519</c:v>
                </c:pt>
                <c:pt idx="564">
                  <c:v>511.04878284484647</c:v>
                </c:pt>
                <c:pt idx="565">
                  <c:v>515.61504821913729</c:v>
                </c:pt>
                <c:pt idx="566">
                  <c:v>520.16849884646615</c:v>
                </c:pt>
                <c:pt idx="567">
                  <c:v>524.70931286178529</c:v>
                </c:pt>
                <c:pt idx="568">
                  <c:v>529.23766578107393</c:v>
                </c:pt>
                <c:pt idx="569">
                  <c:v>533.75373055746536</c:v>
                </c:pt>
                <c:pt idx="570">
                  <c:v>538.25767763579654</c:v>
                </c:pt>
                <c:pt idx="571">
                  <c:v>542.74967500562821</c:v>
                </c:pt>
                <c:pt idx="572">
                  <c:v>547.22988825278014</c:v>
                </c:pt>
                <c:pt idx="573">
                  <c:v>551.69848060942525</c:v>
                </c:pt>
                <c:pt idx="574">
                  <c:v>556.15561300278398</c:v>
                </c:pt>
                <c:pt idx="575">
                  <c:v>560.60144410245937</c:v>
                </c:pt>
                <c:pt idx="576">
                  <c:v>565.03613036644981</c:v>
                </c:pt>
                <c:pt idx="577">
                  <c:v>569.45982608587735</c:v>
                </c:pt>
                <c:pt idx="578">
                  <c:v>573.87268342846494</c:v>
                </c:pt>
                <c:pt idx="579">
                  <c:v>578.27485248079824</c:v>
                </c:pt>
                <c:pt idx="580">
                  <c:v>582.66648128940119</c:v>
                </c:pt>
                <c:pt idx="581">
                  <c:v>587.04771590065855</c:v>
                </c:pt>
                <c:pt idx="582">
                  <c:v>591.41870039961282</c:v>
                </c:pt>
                <c:pt idx="583">
                  <c:v>595.77957694766394</c:v>
                </c:pt>
                <c:pt idx="584">
                  <c:v>600.13048581919827</c:v>
                </c:pt>
                <c:pt idx="585">
                  <c:v>604.47156543717256</c:v>
                </c:pt>
                <c:pt idx="586">
                  <c:v>608.80295240767589</c:v>
                </c:pt>
                <c:pt idx="587">
                  <c:v>613.12478155349356</c:v>
                </c:pt>
                <c:pt idx="588">
                  <c:v>617.43718594669383</c:v>
                </c:pt>
                <c:pt idx="589">
                  <c:v>621.74029694025853</c:v>
                </c:pt>
                <c:pt idx="590">
                  <c:v>626.03424419877661</c:v>
                </c:pt>
                <c:pt idx="591">
                  <c:v>630.31915572821867</c:v>
                </c:pt>
                <c:pt idx="592">
                  <c:v>634.59515790481078</c:v>
                </c:pt>
                <c:pt idx="593">
                  <c:v>638.86237550302246</c:v>
                </c:pt>
                <c:pt idx="594">
                  <c:v>643.12093172268465</c:v>
                </c:pt>
                <c:pt idx="595">
                  <c:v>647.37094821525181</c:v>
                </c:pt>
                <c:pt idx="596">
                  <c:v>651.61254510922072</c:v>
                </c:pt>
                <c:pt idx="597">
                  <c:v>655.84584103471821</c:v>
                </c:pt>
                <c:pt idx="598">
                  <c:v>660.07095314726939</c:v>
                </c:pt>
                <c:pt idx="599">
                  <c:v>664.28799715075547</c:v>
                </c:pt>
                <c:pt idx="600">
                  <c:v>668.49708731957105</c:v>
                </c:pt>
                <c:pt idx="601">
                  <c:v>672.69833651998863</c:v>
                </c:pt>
                <c:pt idx="602">
                  <c:v>676.89185623073672</c:v>
                </c:pt>
                <c:pt idx="603">
                  <c:v>681.07775656279921</c:v>
                </c:pt>
                <c:pt idx="604">
                  <c:v>685.25614627843959</c:v>
                </c:pt>
                <c:pt idx="605">
                  <c:v>689.42713280945463</c:v>
                </c:pt>
                <c:pt idx="606">
                  <c:v>693.59082227466081</c:v>
                </c:pt>
                <c:pt idx="607">
                  <c:v>697.74731949661521</c:v>
                </c:pt>
                <c:pt idx="608">
                  <c:v>701.89672801757229</c:v>
                </c:pt>
                <c:pt idx="609">
                  <c:v>706.03915011467609</c:v>
                </c:pt>
                <c:pt idx="610">
                  <c:v>710.17468681438788</c:v>
                </c:pt>
                <c:pt idx="611">
                  <c:v>714.30343790614563</c:v>
                </c:pt>
                <c:pt idx="612">
                  <c:v>718.42550195525371</c:v>
                </c:pt>
                <c:pt idx="613">
                  <c:v>722.54097631499815</c:v>
                </c:pt>
                <c:pt idx="614">
                  <c:v>726.64995713798191</c:v>
                </c:pt>
                <c:pt idx="615">
                  <c:v>730.75253938667493</c:v>
                </c:pt>
                <c:pt idx="616">
                  <c:v>734.84881684316986</c:v>
                </c:pt>
                <c:pt idx="617">
                  <c:v>738.93888211813749</c:v>
                </c:pt>
                <c:pt idx="618">
                  <c:v>743.02282665896962</c:v>
                </c:pt>
                <c:pt idx="619">
                  <c:v>747.10074075710156</c:v>
                </c:pt>
                <c:pt idx="620">
                  <c:v>751.17271355450021</c:v>
                </c:pt>
                <c:pt idx="621">
                  <c:v>755.23883304930632</c:v>
                </c:pt>
                <c:pt idx="622">
                  <c:v>759.29918610061679</c:v>
                </c:pt>
                <c:pt idx="623">
                  <c:v>763.35385843239226</c:v>
                </c:pt>
                <c:pt idx="624">
                  <c:v>767.40293463647379</c:v>
                </c:pt>
                <c:pt idx="625">
                  <c:v>771.44649817469224</c:v>
                </c:pt>
                <c:pt idx="626">
                  <c:v>775.48463138005206</c:v>
                </c:pt>
                <c:pt idx="627">
                  <c:v>779.51741545697121</c:v>
                </c:pt>
                <c:pt idx="628">
                  <c:v>783.54493048055804</c:v>
                </c:pt>
                <c:pt idx="629">
                  <c:v>787.56725539490424</c:v>
                </c:pt>
                <c:pt idx="630">
                  <c:v>791.58446801037348</c:v>
                </c:pt>
                <c:pt idx="631">
                  <c:v>795.59664499986479</c:v>
                </c:pt>
                <c:pt idx="632">
                  <c:v>799.60386189402902</c:v>
                </c:pt>
                <c:pt idx="633">
                  <c:v>803.60619307541617</c:v>
                </c:pt>
                <c:pt idx="634">
                  <c:v>807.60371177153286</c:v>
                </c:pt>
                <c:pt idx="635">
                  <c:v>811.59649004678829</c:v>
                </c:pt>
                <c:pt idx="636">
                  <c:v>815.5845987933078</c:v>
                </c:pt>
                <c:pt idx="637">
                  <c:v>819.56810772059521</c:v>
                </c:pt>
                <c:pt idx="638">
                  <c:v>823.54708534402437</c:v>
                </c:pt>
                <c:pt idx="639">
                  <c:v>827.52159897214381</c:v>
                </c:pt>
                <c:pt idx="640">
                  <c:v>831.49171469278053</c:v>
                </c:pt>
                <c:pt idx="641">
                  <c:v>835.45749735793027</c:v>
                </c:pt>
                <c:pt idx="642">
                  <c:v>839.4190105674262</c:v>
                </c:pt>
                <c:pt idx="643">
                  <c:v>843.37631665138144</c:v>
                </c:pt>
                <c:pt idx="644">
                  <c:v>847.329476651405</c:v>
                </c:pt>
                <c:pt idx="645">
                  <c:v>851.27855030059777</c:v>
                </c:pt>
                <c:pt idx="646">
                  <c:v>855.22359600233858</c:v>
                </c:pt>
                <c:pt idx="647">
                  <c:v>859.16467080788027</c:v>
                </c:pt>
                <c:pt idx="648">
                  <c:v>863.10183039278195</c:v>
                </c:pt>
                <c:pt idx="649">
                  <c:v>867.03512903221292</c:v>
                </c:pt>
                <c:pt idx="650">
                  <c:v>870.9646195751742</c:v>
                </c:pt>
                <c:pt idx="651">
                  <c:v>874.89035341769375</c:v>
                </c:pt>
                <c:pt idx="652">
                  <c:v>878.81238047506372</c:v>
                </c:pt>
                <c:pt idx="653">
                  <c:v>882.73074915320126</c:v>
                </c:pt>
                <c:pt idx="654">
                  <c:v>886.64550631922748</c:v>
                </c:pt>
                <c:pt idx="655">
                  <c:v>890.55669727137445</c:v>
                </c:pt>
                <c:pt idx="656">
                  <c:v>894.46436570834442</c:v>
                </c:pt>
                <c:pt idx="657">
                  <c:v>898.36855369826208</c:v>
                </c:pt>
                <c:pt idx="658">
                  <c:v>902.26930164737632</c:v>
                </c:pt>
                <c:pt idx="659">
                  <c:v>906.16664826868441</c:v>
                </c:pt>
                <c:pt idx="660">
                  <c:v>910.06063055066556</c:v>
                </c:pt>
                <c:pt idx="661">
                  <c:v>913.95128372632917</c:v>
                </c:pt>
                <c:pt idx="662">
                  <c:v>917.83864124279421</c:v>
                </c:pt>
                <c:pt idx="663">
                  <c:v>921.72273473163045</c:v>
                </c:pt>
                <c:pt idx="664">
                  <c:v>925.60359398020296</c:v>
                </c:pt>
                <c:pt idx="665">
                  <c:v>929.48124690426994</c:v>
                </c:pt>
                <c:pt idx="666">
                  <c:v>933.35571952208932</c:v>
                </c:pt>
                <c:pt idx="667">
                  <c:v>937.22703593029246</c:v>
                </c:pt>
                <c:pt idx="668">
                  <c:v>941.0952182817831</c:v>
                </c:pt>
                <c:pt idx="669">
                  <c:v>944.96028676591334</c:v>
                </c:pt>
                <c:pt idx="670">
                  <c:v>948.82225959118091</c:v>
                </c:pt>
                <c:pt idx="671">
                  <c:v>952.68115297067868</c:v>
                </c:pt>
                <c:pt idx="672">
                  <c:v>956.53698111050949</c:v>
                </c:pt>
                <c:pt idx="673">
                  <c:v>960.38975620135739</c:v>
                </c:pt>
                <c:pt idx="674">
                  <c:v>964.23948841338267</c:v>
                </c:pt>
                <c:pt idx="675">
                  <c:v>968.08618589457706</c:v>
                </c:pt>
                <c:pt idx="676">
                  <c:v>971.92985477268576</c:v>
                </c:pt>
                <c:pt idx="677">
                  <c:v>975.77049916076612</c:v>
                </c:pt>
                <c:pt idx="678">
                  <c:v>979.60812116641944</c:v>
                </c:pt>
                <c:pt idx="679">
                  <c:v>983.44272090469394</c:v>
                </c:pt>
                <c:pt idx="680">
                  <c:v>987.27429651462137</c:v>
                </c:pt>
                <c:pt idx="681">
                  <c:v>991.10284417931234</c:v>
                </c:pt>
                <c:pt idx="682">
                  <c:v>994.92835814950354</c:v>
                </c:pt>
                <c:pt idx="683">
                  <c:v>998.75083077041518</c:v>
                </c:pt>
                <c:pt idx="684">
                  <c:v>1002.5702525117512</c:v>
                </c:pt>
                <c:pt idx="685">
                  <c:v>1006.386612000646</c:v>
                </c:pt>
                <c:pt idx="686">
                  <c:v>1010.1998960573435</c:v>
                </c:pt>
                <c:pt idx="687">
                  <c:v>1014.0100897333743</c:v>
                </c:pt>
                <c:pt idx="688">
                  <c:v>1017.8171763519849</c:v>
                </c:pt>
                <c:pt idx="689">
                  <c:v>1021.6211375505643</c:v>
                </c:pt>
                <c:pt idx="690">
                  <c:v>1025.4219533248092</c:v>
                </c:pt>
                <c:pt idx="691">
                  <c:v>1029.219602074367</c:v>
                </c:pt>
                <c:pt idx="692">
                  <c:v>1033.0140606497005</c:v>
                </c:pt>
                <c:pt idx="693">
                  <c:v>1036.805304399925</c:v>
                </c:pt>
                <c:pt idx="694">
                  <c:v>1040.5933072213743</c:v>
                </c:pt>
                <c:pt idx="695">
                  <c:v>1044.3780416066677</c:v>
                </c:pt>
                <c:pt idx="696">
                  <c:v>1048.1594786940618</c:v>
                </c:pt>
                <c:pt idx="697">
                  <c:v>1051.9375883168852</c:v>
                </c:pt>
                <c:pt idx="698">
                  <c:v>1055.7123390528702</c:v>
                </c:pt>
                <c:pt idx="699">
                  <c:v>1059.4836982732129</c:v>
                </c:pt>
                <c:pt idx="700">
                  <c:v>1063.2516321912094</c:v>
                </c:pt>
                <c:pt idx="701">
                  <c:v>1067.0161059103318</c:v>
                </c:pt>
                <c:pt idx="702">
                  <c:v>1070.7770834716252</c:v>
                </c:pt>
                <c:pt idx="703">
                  <c:v>1074.5345279003213</c:v>
                </c:pt>
                <c:pt idx="704">
                  <c:v>1078.2884012515804</c:v>
                </c:pt>
                <c:pt idx="705">
                  <c:v>1082.0386646552868</c:v>
                </c:pt>
                <c:pt idx="706">
                  <c:v>1085.7852783598378</c:v>
                </c:pt>
                <c:pt idx="707">
                  <c:v>1089.5282017748746</c:v>
                </c:pt>
                <c:pt idx="708">
                  <c:v>1093.2673935129203</c:v>
                </c:pt>
                <c:pt idx="709">
                  <c:v>1097.0028114298959</c:v>
                </c:pt>
                <c:pt idx="710">
                  <c:v>1100.7344126644953</c:v>
                </c:pt>
                <c:pt idx="711">
                  <c:v>1104.4621536764098</c:v>
                </c:pt>
                <c:pt idx="712">
                  <c:v>1108.1859902834003</c:v>
                </c:pt>
                <c:pt idx="713">
                  <c:v>1111.905877697217</c:v>
                </c:pt>
                <c:pt idx="714">
                  <c:v>1115.6217705583779</c:v>
                </c:pt>
                <c:pt idx="715">
                  <c:v>1119.3336229698195</c:v>
                </c:pt>
                <c:pt idx="716">
                  <c:v>1123.0413885294352</c:v>
                </c:pt>
                <c:pt idx="717">
                  <c:v>1126.7450203615233</c:v>
                </c:pt>
                <c:pt idx="718">
                  <c:v>1130.4444711471683</c:v>
                </c:pt>
                <c:pt idx="719">
                  <c:v>1134.1396931535787</c:v>
                </c:pt>
                <c:pt idx="720">
                  <c:v>1137.8306382624121</c:v>
                </c:pt>
                <c:pt idx="721">
                  <c:v>1141.5172579971127</c:v>
                </c:pt>
                <c:pt idx="722">
                  <c:v>1145.199503549293</c:v>
                </c:pt>
                <c:pt idx="723">
                  <c:v>1148.8773258041895</c:v>
                </c:pt>
                <c:pt idx="724">
                  <c:v>1152.5506753652203</c:v>
                </c:pt>
                <c:pt idx="725">
                  <c:v>1156.2195025776796</c:v>
                </c:pt>
                <c:pt idx="726">
                  <c:v>1159.8837575515954</c:v>
                </c:pt>
                <c:pt idx="727">
                  <c:v>1163.5433901837837</c:v>
                </c:pt>
                <c:pt idx="728">
                  <c:v>1167.1983501791262</c:v>
                </c:pt>
                <c:pt idx="729">
                  <c:v>1170.8485870711029</c:v>
                </c:pt>
                <c:pt idx="730">
                  <c:v>1174.4940502416073</c:v>
                </c:pt>
                <c:pt idx="731">
                  <c:v>1178.134688940072</c:v>
                </c:pt>
                <c:pt idx="732">
                  <c:v>1181.7704523019327</c:v>
                </c:pt>
                <c:pt idx="733">
                  <c:v>1185.4012893664546</c:v>
                </c:pt>
                <c:pt idx="734">
                  <c:v>1189.0271490939501</c:v>
                </c:pt>
                <c:pt idx="735">
                  <c:v>1192.6479803824095</c:v>
                </c:pt>
                <c:pt idx="736">
                  <c:v>1196.2637320835697</c:v>
                </c:pt>
                <c:pt idx="737">
                  <c:v>1199.8743530184431</c:v>
                </c:pt>
                <c:pt idx="738">
                  <c:v>1203.4797919923299</c:v>
                </c:pt>
                <c:pt idx="739">
                  <c:v>1207.0799978093328</c:v>
                </c:pt>
                <c:pt idx="740">
                  <c:v>1210.674919286397</c:v>
                </c:pt>
                <c:pt idx="741">
                  <c:v>1214.2645052668909</c:v>
                </c:pt>
                <c:pt idx="742">
                  <c:v>1217.8487046337509</c:v>
                </c:pt>
                <c:pt idx="743">
                  <c:v>1221.4274663222043</c:v>
                </c:pt>
                <c:pt idx="744">
                  <c:v>1225.0007393320877</c:v>
                </c:pt>
                <c:pt idx="745">
                  <c:v>1228.5684727397795</c:v>
                </c:pt>
                <c:pt idx="746">
                  <c:v>1232.1306157097583</c:v>
                </c:pt>
                <c:pt idx="747">
                  <c:v>1235.687117505805</c:v>
                </c:pt>
                <c:pt idx="748">
                  <c:v>1239.2379275018607</c:v>
                </c:pt>
                <c:pt idx="749">
                  <c:v>1242.7829951925551</c:v>
                </c:pt>
                <c:pt idx="750">
                  <c:v>1246.3222702034166</c:v>
                </c:pt>
                <c:pt idx="751">
                  <c:v>1249.8557023007777</c:v>
                </c:pt>
                <c:pt idx="752">
                  <c:v>1253.3832414013862</c:v>
                </c:pt>
                <c:pt idx="753">
                  <c:v>1256.9048375817338</c:v>
                </c:pt>
                <c:pt idx="754">
                  <c:v>1260.4204410871123</c:v>
                </c:pt>
                <c:pt idx="755">
                  <c:v>1263.9300023404076</c:v>
                </c:pt>
                <c:pt idx="756">
                  <c:v>1267.4334719506405</c:v>
                </c:pt>
                <c:pt idx="757">
                  <c:v>1270.9308007212633</c:v>
                </c:pt>
                <c:pt idx="758">
                  <c:v>1274.4219396582218</c:v>
                </c:pt>
                <c:pt idx="759">
                  <c:v>1277.90683997779</c:v>
                </c:pt>
                <c:pt idx="760">
                  <c:v>1281.3854531141844</c:v>
                </c:pt>
                <c:pt idx="761">
                  <c:v>1284.857730726967</c:v>
                </c:pt>
                <c:pt idx="762">
                  <c:v>1288.3236247082439</c:v>
                </c:pt>
                <c:pt idx="763">
                  <c:v>1291.783087189664</c:v>
                </c:pt>
                <c:pt idx="764">
                  <c:v>1295.2360705492274</c:v>
                </c:pt>
                <c:pt idx="765">
                  <c:v>1298.6825274179062</c:v>
                </c:pt>
                <c:pt idx="766">
                  <c:v>1302.1224106860864</c:v>
                </c:pt>
                <c:pt idx="767">
                  <c:v>1305.5556735098346</c:v>
                </c:pt>
                <c:pt idx="768">
                  <c:v>1308.9822693169949</c:v>
                </c:pt>
                <c:pt idx="769">
                  <c:v>1312.4021518131221</c:v>
                </c:pt>
                <c:pt idx="770">
                  <c:v>1315.815274987254</c:v>
                </c:pt>
                <c:pt idx="771">
                  <c:v>1319.2215931175294</c:v>
                </c:pt>
                <c:pt idx="772">
                  <c:v>1322.6210607766548</c:v>
                </c:pt>
                <c:pt idx="773">
                  <c:v>1326.0136328372232</c:v>
                </c:pt>
                <c:pt idx="774">
                  <c:v>1329.3992644768919</c:v>
                </c:pt>
                <c:pt idx="775">
                  <c:v>1332.7779111834188</c:v>
                </c:pt>
                <c:pt idx="776">
                  <c:v>1336.1495287595644</c:v>
                </c:pt>
                <c:pt idx="777">
                  <c:v>1339.5140733278606</c:v>
                </c:pt>
                <c:pt idx="778">
                  <c:v>1342.871501335251</c:v>
                </c:pt>
                <c:pt idx="779">
                  <c:v>1346.2217695576039</c:v>
                </c:pt>
                <c:pt idx="780">
                  <c:v>1349.5648351041038</c:v>
                </c:pt>
                <c:pt idx="781">
                  <c:v>1352.9006554215212</c:v>
                </c:pt>
                <c:pt idx="782">
                  <c:v>1356.2291882983641</c:v>
                </c:pt>
                <c:pt idx="783">
                  <c:v>1359.5503918689169</c:v>
                </c:pt>
                <c:pt idx="784">
                  <c:v>1362.8642246171637</c:v>
                </c:pt>
                <c:pt idx="785">
                  <c:v>1366.170645380603</c:v>
                </c:pt>
                <c:pt idx="786">
                  <c:v>1369.4696133539537</c:v>
                </c:pt>
                <c:pt idx="787">
                  <c:v>1372.7610880927548</c:v>
                </c:pt>
                <c:pt idx="788">
                  <c:v>1376.0450295168614</c:v>
                </c:pt>
                <c:pt idx="789">
                  <c:v>1379.3213979138388</c:v>
                </c:pt>
                <c:pt idx="790">
                  <c:v>1382.5901539422564</c:v>
                </c:pt>
                <c:pt idx="791">
                  <c:v>1385.8512586348827</c:v>
                </c:pt>
                <c:pt idx="792">
                  <c:v>1389.1046734017843</c:v>
                </c:pt>
                <c:pt idx="793">
                  <c:v>1392.3503600333306</c:v>
                </c:pt>
                <c:pt idx="794">
                  <c:v>1395.5882807031028</c:v>
                </c:pt>
                <c:pt idx="795">
                  <c:v>1398.8183979707139</c:v>
                </c:pt>
                <c:pt idx="796">
                  <c:v>1402.0406747845366</c:v>
                </c:pt>
                <c:pt idx="797">
                  <c:v>1405.2550744843422</c:v>
                </c:pt>
                <c:pt idx="798">
                  <c:v>1408.4615608038534</c:v>
                </c:pt>
                <c:pt idx="799">
                  <c:v>1411.6600978732085</c:v>
                </c:pt>
                <c:pt idx="800">
                  <c:v>1414.8506502213431</c:v>
                </c:pt>
                <c:pt idx="801">
                  <c:v>1418.0331827782861</c:v>
                </c:pt>
                <c:pt idx="802">
                  <c:v>1421.2076608773739</c:v>
                </c:pt>
                <c:pt idx="803">
                  <c:v>1424.3740502573835</c:v>
                </c:pt>
                <c:pt idx="804">
                  <c:v>1427.5323170645843</c:v>
                </c:pt>
                <c:pt idx="805">
                  <c:v>1430.682427854711</c:v>
                </c:pt>
                <c:pt idx="806">
                  <c:v>1433.8243495948589</c:v>
                </c:pt>
                <c:pt idx="807">
                  <c:v>1436.9580496653005</c:v>
                </c:pt>
                <c:pt idx="808">
                  <c:v>1440.0834958612277</c:v>
                </c:pt>
                <c:pt idx="809">
                  <c:v>1443.2006563944167</c:v>
                </c:pt>
                <c:pt idx="810">
                  <c:v>1446.30949989482</c:v>
                </c:pt>
                <c:pt idx="811">
                  <c:v>1449.4099954120836</c:v>
                </c:pt>
                <c:pt idx="812">
                  <c:v>1452.5021124169928</c:v>
                </c:pt>
                <c:pt idx="813">
                  <c:v>1455.5858208028451</c:v>
                </c:pt>
                <c:pt idx="814">
                  <c:v>1458.6610908867531</c:v>
                </c:pt>
                <c:pt idx="815">
                  <c:v>1461.7278934108758</c:v>
                </c:pt>
                <c:pt idx="816">
                  <c:v>1464.7861995435824</c:v>
                </c:pt>
                <c:pt idx="817">
                  <c:v>1467.8359808805451</c:v>
                </c:pt>
                <c:pt idx="818">
                  <c:v>1470.8772094457665</c:v>
                </c:pt>
                <c:pt idx="819">
                  <c:v>1473.9098576925383</c:v>
                </c:pt>
                <c:pt idx="820">
                  <c:v>1476.9338985043335</c:v>
                </c:pt>
                <c:pt idx="821">
                  <c:v>1479.9493051956338</c:v>
                </c:pt>
                <c:pt idx="822">
                  <c:v>1482.9560515126918</c:v>
                </c:pt>
                <c:pt idx="823">
                  <c:v>1485.9541116342282</c:v>
                </c:pt>
                <c:pt idx="824">
                  <c:v>1488.9434601720657</c:v>
                </c:pt>
                <c:pt idx="825">
                  <c:v>1491.9240721717003</c:v>
                </c:pt>
                <c:pt idx="826">
                  <c:v>1494.8959231128101</c:v>
                </c:pt>
                <c:pt idx="827">
                  <c:v>1497.8589889097018</c:v>
                </c:pt>
                <c:pt idx="828">
                  <c:v>1500.8132459116969</c:v>
                </c:pt>
                <c:pt idx="829">
                  <c:v>1503.7586709034574</c:v>
                </c:pt>
                <c:pt idx="830">
                  <c:v>1506.6952411052519</c:v>
                </c:pt>
                <c:pt idx="831">
                  <c:v>1509.6229341731614</c:v>
                </c:pt>
                <c:pt idx="832">
                  <c:v>1512.5417281992284</c:v>
                </c:pt>
                <c:pt idx="833">
                  <c:v>1515.4516017115463</c:v>
                </c:pt>
                <c:pt idx="834">
                  <c:v>1518.3525336742928</c:v>
                </c:pt>
                <c:pt idx="835">
                  <c:v>1521.2445034877053</c:v>
                </c:pt>
                <c:pt idx="836">
                  <c:v>1524.1274909880021</c:v>
                </c:pt>
                <c:pt idx="837">
                  <c:v>1527.0014764472458</c:v>
                </c:pt>
                <c:pt idx="838">
                  <c:v>1529.8664405731527</c:v>
                </c:pt>
                <c:pt idx="839">
                  <c:v>1532.7223645088493</c:v>
                </c:pt>
                <c:pt idx="840">
                  <c:v>1535.5692298325721</c:v>
                </c:pt>
                <c:pt idx="841">
                  <c:v>1538.4070185573166</c:v>
                </c:pt>
                <c:pt idx="842">
                  <c:v>1541.2357131304325</c:v>
                </c:pt>
                <c:pt idx="843">
                  <c:v>1544.0552964331671</c:v>
                </c:pt>
                <c:pt idx="844">
                  <c:v>1546.8657517801578</c:v>
                </c:pt>
                <c:pt idx="845">
                  <c:v>1549.6670629188723</c:v>
                </c:pt>
                <c:pt idx="846">
                  <c:v>1552.4592140290001</c:v>
                </c:pt>
                <c:pt idx="847">
                  <c:v>1555.242189721793</c:v>
                </c:pt>
                <c:pt idx="848">
                  <c:v>1558.015975039357</c:v>
                </c:pt>
                <c:pt idx="849">
                  <c:v>1560.7805554538957</c:v>
                </c:pt>
                <c:pt idx="850">
                  <c:v>1563.5359168669049</c:v>
                </c:pt>
                <c:pt idx="851">
                  <c:v>1566.2820456083205</c:v>
                </c:pt>
                <c:pt idx="852">
                  <c:v>1569.0189284356188</c:v>
                </c:pt>
                <c:pt idx="853">
                  <c:v>1571.7465525328716</c:v>
                </c:pt>
                <c:pt idx="854">
                  <c:v>1574.4649055097536</c:v>
                </c:pt>
                <c:pt idx="855">
                  <c:v>1577.1739754005068</c:v>
                </c:pt>
                <c:pt idx="856">
                  <c:v>1579.8737506628584</c:v>
                </c:pt>
                <c:pt idx="857">
                  <c:v>1582.5642201768951</c:v>
                </c:pt>
                <c:pt idx="858">
                  <c:v>1585.2453732438953</c:v>
                </c:pt>
                <c:pt idx="859">
                  <c:v>1587.9171995851161</c:v>
                </c:pt>
                <c:pt idx="860">
                  <c:v>1590.5796893405395</c:v>
                </c:pt>
                <c:pt idx="861">
                  <c:v>1593.2328330675759</c:v>
                </c:pt>
                <c:pt idx="862">
                  <c:v>1595.8766217397272</c:v>
                </c:pt>
                <c:pt idx="863">
                  <c:v>1598.5110467452082</c:v>
                </c:pt>
                <c:pt idx="864">
                  <c:v>1601.1360998855293</c:v>
                </c:pt>
                <c:pt idx="865">
                  <c:v>1603.7517733740381</c:v>
                </c:pt>
                <c:pt idx="866">
                  <c:v>1606.3580598344226</c:v>
                </c:pt>
                <c:pt idx="867">
                  <c:v>1608.9549522991772</c:v>
                </c:pt>
                <c:pt idx="868">
                  <c:v>1611.5424442080287</c:v>
                </c:pt>
                <c:pt idx="869">
                  <c:v>1614.120529406327</c:v>
                </c:pt>
                <c:pt idx="870">
                  <c:v>1616.6892021433985</c:v>
                </c:pt>
                <c:pt idx="871">
                  <c:v>1619.2484570708621</c:v>
                </c:pt>
                <c:pt idx="872">
                  <c:v>1621.798289240912</c:v>
                </c:pt>
                <c:pt idx="873">
                  <c:v>1624.3386941045642</c:v>
                </c:pt>
                <c:pt idx="874">
                  <c:v>1626.8696675098679</c:v>
                </c:pt>
                <c:pt idx="875">
                  <c:v>1629.3912057000853</c:v>
                </c:pt>
                <c:pt idx="876">
                  <c:v>1631.9033053118362</c:v>
                </c:pt>
                <c:pt idx="877">
                  <c:v>1634.4059633732106</c:v>
                </c:pt>
                <c:pt idx="878">
                  <c:v>1636.8991773018495</c:v>
                </c:pt>
                <c:pt idx="879">
                  <c:v>1639.3829449029936</c:v>
                </c:pt>
                <c:pt idx="880">
                  <c:v>1641.8572643675022</c:v>
                </c:pt>
                <c:pt idx="881">
                  <c:v>1644.3221342698403</c:v>
                </c:pt>
                <c:pt idx="882">
                  <c:v>1646.7775535660369</c:v>
                </c:pt>
                <c:pt idx="883">
                  <c:v>1649.2235215916137</c:v>
                </c:pt>
                <c:pt idx="884">
                  <c:v>1651.6600380594857</c:v>
                </c:pt>
                <c:pt idx="885">
                  <c:v>1654.0871030578332</c:v>
                </c:pt>
                <c:pt idx="886">
                  <c:v>1656.5047170479463</c:v>
                </c:pt>
                <c:pt idx="887">
                  <c:v>1658.9128808620426</c:v>
                </c:pt>
                <c:pt idx="888">
                  <c:v>1661.3115957010593</c:v>
                </c:pt>
                <c:pt idx="889">
                  <c:v>1663.7008631324186</c:v>
                </c:pt>
                <c:pt idx="890">
                  <c:v>1666.0806850877682</c:v>
                </c:pt>
                <c:pt idx="891">
                  <c:v>1668.4510638606971</c:v>
                </c:pt>
                <c:pt idx="892">
                  <c:v>1670.8120021044276</c:v>
                </c:pt>
                <c:pt idx="893">
                  <c:v>1673.1635028294841</c:v>
                </c:pt>
                <c:pt idx="894">
                  <c:v>1675.5055694013381</c:v>
                </c:pt>
                <c:pt idx="895">
                  <c:v>1677.8382055380318</c:v>
                </c:pt>
                <c:pt idx="896">
                  <c:v>1680.1614153077792</c:v>
                </c:pt>
                <c:pt idx="897">
                  <c:v>1682.4752031265461</c:v>
                </c:pt>
                <c:pt idx="898">
                  <c:v>1684.7795737556103</c:v>
                </c:pt>
                <c:pt idx="899">
                  <c:v>1687.0745322991006</c:v>
                </c:pt>
                <c:pt idx="900">
                  <c:v>1689.3600842015167</c:v>
                </c:pt>
                <c:pt idx="901">
                  <c:v>1691.6362352452304</c:v>
                </c:pt>
                <c:pt idx="902">
                  <c:v>1693.902991547968</c:v>
                </c:pt>
                <c:pt idx="903">
                  <c:v>1696.1603595602751</c:v>
                </c:pt>
                <c:pt idx="904">
                  <c:v>1698.4083460629633</c:v>
                </c:pt>
                <c:pt idx="905">
                  <c:v>1700.6469581645422</c:v>
                </c:pt>
                <c:pt idx="906">
                  <c:v>1702.8762032986319</c:v>
                </c:pt>
                <c:pt idx="907">
                  <c:v>1705.0960892213634</c:v>
                </c:pt>
                <c:pt idx="908">
                  <c:v>1707.3066240087612</c:v>
                </c:pt>
                <c:pt idx="909">
                  <c:v>1709.5078160541125</c:v>
                </c:pt>
                <c:pt idx="910">
                  <c:v>1711.6996740653221</c:v>
                </c:pt>
                <c:pt idx="911">
                  <c:v>1713.8822070622541</c:v>
                </c:pt>
                <c:pt idx="912">
                  <c:v>1716.0554243740598</c:v>
                </c:pt>
                <c:pt idx="913">
                  <c:v>1718.219335636494</c:v>
                </c:pt>
                <c:pt idx="914">
                  <c:v>1720.3739507892187</c:v>
                </c:pt>
                <c:pt idx="915">
                  <c:v>1722.5192800730961</c:v>
                </c:pt>
                <c:pt idx="916">
                  <c:v>1724.65533402747</c:v>
                </c:pt>
                <c:pt idx="917">
                  <c:v>1726.782123487437</c:v>
                </c:pt>
                <c:pt idx="918">
                  <c:v>1728.8996595811086</c:v>
                </c:pt>
                <c:pt idx="919">
                  <c:v>1731.0079537268625</c:v>
                </c:pt>
                <c:pt idx="920">
                  <c:v>1733.1070176305861</c:v>
                </c:pt>
                <c:pt idx="921">
                  <c:v>1735.1968632829119</c:v>
                </c:pt>
                <c:pt idx="922">
                  <c:v>1737.2775029564434</c:v>
                </c:pt>
                <c:pt idx="923">
                  <c:v>1739.3489492029762</c:v>
                </c:pt>
                <c:pt idx="924">
                  <c:v>1741.4112148507097</c:v>
                </c:pt>
                <c:pt idx="925">
                  <c:v>1741.4112148507097</c:v>
                </c:pt>
                <c:pt idx="926">
                  <c:v>1741.4112148507097</c:v>
                </c:pt>
                <c:pt idx="927">
                  <c:v>1741.4112148507097</c:v>
                </c:pt>
                <c:pt idx="928">
                  <c:v>1741.4112148507097</c:v>
                </c:pt>
                <c:pt idx="929">
                  <c:v>1741.4112148507097</c:v>
                </c:pt>
                <c:pt idx="930">
                  <c:v>1741.4112148507097</c:v>
                </c:pt>
                <c:pt idx="931">
                  <c:v>1741.4112148507097</c:v>
                </c:pt>
                <c:pt idx="932">
                  <c:v>1741.4112148507097</c:v>
                </c:pt>
                <c:pt idx="933">
                  <c:v>1741.4112148507097</c:v>
                </c:pt>
                <c:pt idx="934">
                  <c:v>1741.4112148507097</c:v>
                </c:pt>
                <c:pt idx="935">
                  <c:v>1741.4112148507097</c:v>
                </c:pt>
                <c:pt idx="936">
                  <c:v>1741.4112148507097</c:v>
                </c:pt>
                <c:pt idx="937">
                  <c:v>1741.4112148507097</c:v>
                </c:pt>
                <c:pt idx="938">
                  <c:v>1741.4112148507097</c:v>
                </c:pt>
                <c:pt idx="939">
                  <c:v>1741.4112148507097</c:v>
                </c:pt>
                <c:pt idx="940">
                  <c:v>1741.4112148507097</c:v>
                </c:pt>
                <c:pt idx="941">
                  <c:v>1741.4112148507097</c:v>
                </c:pt>
                <c:pt idx="942">
                  <c:v>1741.4112148507097</c:v>
                </c:pt>
                <c:pt idx="943">
                  <c:v>1741.4112148507097</c:v>
                </c:pt>
                <c:pt idx="944">
                  <c:v>1741.4112148507097</c:v>
                </c:pt>
                <c:pt idx="945">
                  <c:v>1741.4112148507097</c:v>
                </c:pt>
                <c:pt idx="946">
                  <c:v>1741.4112148507097</c:v>
                </c:pt>
                <c:pt idx="947">
                  <c:v>1741.4112148507097</c:v>
                </c:pt>
                <c:pt idx="948">
                  <c:v>1741.4112148507097</c:v>
                </c:pt>
                <c:pt idx="949">
                  <c:v>1741.4112148507097</c:v>
                </c:pt>
                <c:pt idx="950">
                  <c:v>1741.4112148507097</c:v>
                </c:pt>
                <c:pt idx="951">
                  <c:v>1741.4112148507097</c:v>
                </c:pt>
                <c:pt idx="952">
                  <c:v>1741.4112148507097</c:v>
                </c:pt>
                <c:pt idx="953">
                  <c:v>1741.4112148507097</c:v>
                </c:pt>
                <c:pt idx="954">
                  <c:v>1741.4112148507097</c:v>
                </c:pt>
                <c:pt idx="955">
                  <c:v>1741.4112148507097</c:v>
                </c:pt>
                <c:pt idx="956">
                  <c:v>1741.4112148507097</c:v>
                </c:pt>
                <c:pt idx="957">
                  <c:v>1741.4112148507097</c:v>
                </c:pt>
                <c:pt idx="958">
                  <c:v>1741.4112148507097</c:v>
                </c:pt>
                <c:pt idx="959">
                  <c:v>1741.4112148507097</c:v>
                </c:pt>
                <c:pt idx="960">
                  <c:v>1741.4112148507097</c:v>
                </c:pt>
                <c:pt idx="961">
                  <c:v>1741.4112148507097</c:v>
                </c:pt>
                <c:pt idx="962">
                  <c:v>1741.4112148507097</c:v>
                </c:pt>
                <c:pt idx="963">
                  <c:v>1741.4112148507097</c:v>
                </c:pt>
                <c:pt idx="964">
                  <c:v>1741.4112148507097</c:v>
                </c:pt>
                <c:pt idx="965">
                  <c:v>1741.4112148507097</c:v>
                </c:pt>
                <c:pt idx="966">
                  <c:v>1741.4112148507097</c:v>
                </c:pt>
                <c:pt idx="967">
                  <c:v>1741.4112148507097</c:v>
                </c:pt>
                <c:pt idx="968">
                  <c:v>1741.4112148507097</c:v>
                </c:pt>
                <c:pt idx="969">
                  <c:v>1741.4112148507097</c:v>
                </c:pt>
                <c:pt idx="970">
                  <c:v>1741.4112148507097</c:v>
                </c:pt>
                <c:pt idx="971">
                  <c:v>1741.4112148507097</c:v>
                </c:pt>
                <c:pt idx="972">
                  <c:v>1741.4112148507097</c:v>
                </c:pt>
                <c:pt idx="973">
                  <c:v>1741.4112148507097</c:v>
                </c:pt>
                <c:pt idx="974">
                  <c:v>1741.4112148507097</c:v>
                </c:pt>
                <c:pt idx="975">
                  <c:v>1741.4112148507097</c:v>
                </c:pt>
                <c:pt idx="976">
                  <c:v>1741.4112148507097</c:v>
                </c:pt>
                <c:pt idx="977">
                  <c:v>1741.4112148507097</c:v>
                </c:pt>
                <c:pt idx="978">
                  <c:v>1741.4112148507097</c:v>
                </c:pt>
                <c:pt idx="979">
                  <c:v>1741.4112148507097</c:v>
                </c:pt>
                <c:pt idx="980">
                  <c:v>1741.4112148507097</c:v>
                </c:pt>
                <c:pt idx="981">
                  <c:v>1741.4112148507097</c:v>
                </c:pt>
                <c:pt idx="982">
                  <c:v>1741.4112148507097</c:v>
                </c:pt>
                <c:pt idx="983">
                  <c:v>1741.4112148507097</c:v>
                </c:pt>
                <c:pt idx="984">
                  <c:v>1741.4112148507097</c:v>
                </c:pt>
                <c:pt idx="985">
                  <c:v>1741.4112148507097</c:v>
                </c:pt>
                <c:pt idx="986">
                  <c:v>1741.4112148507097</c:v>
                </c:pt>
                <c:pt idx="987">
                  <c:v>1741.4112148507097</c:v>
                </c:pt>
                <c:pt idx="988">
                  <c:v>1741.4112148507097</c:v>
                </c:pt>
                <c:pt idx="989">
                  <c:v>1741.4112148507097</c:v>
                </c:pt>
                <c:pt idx="990">
                  <c:v>1741.4112148507097</c:v>
                </c:pt>
                <c:pt idx="991">
                  <c:v>1741.4112148507097</c:v>
                </c:pt>
                <c:pt idx="992">
                  <c:v>1741.4112148507097</c:v>
                </c:pt>
                <c:pt idx="993">
                  <c:v>1741.4112148507097</c:v>
                </c:pt>
                <c:pt idx="994">
                  <c:v>1741.4112148507097</c:v>
                </c:pt>
                <c:pt idx="995">
                  <c:v>1741.4112148507097</c:v>
                </c:pt>
                <c:pt idx="996">
                  <c:v>1741.4112148507097</c:v>
                </c:pt>
                <c:pt idx="997">
                  <c:v>1741.4112148507097</c:v>
                </c:pt>
                <c:pt idx="998">
                  <c:v>1741.4112148507097</c:v>
                </c:pt>
                <c:pt idx="999">
                  <c:v>1741.4112148507097</c:v>
                </c:pt>
                <c:pt idx="1000">
                  <c:v>1741.4112148507097</c:v>
                </c:pt>
              </c:numCache>
            </c:numRef>
          </c:xVal>
          <c:yVal>
            <c:numRef>
              <c:f>Calculs!$K$4:$K$1004</c:f>
              <c:numCache>
                <c:formatCode>0.00</c:formatCode>
                <c:ptCount val="1001"/>
                <c:pt idx="0">
                  <c:v>0</c:v>
                </c:pt>
                <c:pt idx="1">
                  <c:v>3.6937359344706394E-4</c:v>
                </c:pt>
                <c:pt idx="2">
                  <c:v>2.409843196968374E-3</c:v>
                </c:pt>
                <c:pt idx="3">
                  <c:v>7.440741493872579E-3</c:v>
                </c:pt>
                <c:pt idx="4">
                  <c:v>1.623630438492359E-2</c:v>
                </c:pt>
                <c:pt idx="5">
                  <c:v>2.9571348273326512E-2</c:v>
                </c:pt>
                <c:pt idx="6">
                  <c:v>4.8221358059421959E-2</c:v>
                </c:pt>
                <c:pt idx="7">
                  <c:v>7.296257457439749E-2</c:v>
                </c:pt>
                <c:pt idx="8">
                  <c:v>0.10457208148333813</c:v>
                </c:pt>
                <c:pt idx="9">
                  <c:v>0.1438278916872418</c:v>
                </c:pt>
                <c:pt idx="10">
                  <c:v>0.19150903325295746</c:v>
                </c:pt>
                <c:pt idx="11">
                  <c:v>0.24817296831150651</c:v>
                </c:pt>
                <c:pt idx="12">
                  <c:v>0.31393252335261035</c:v>
                </c:pt>
                <c:pt idx="13">
                  <c:v>0.38867618672903692</c:v>
                </c:pt>
                <c:pt idx="14">
                  <c:v>0.47228885012694549</c:v>
                </c:pt>
                <c:pt idx="15">
                  <c:v>0.56465350225469901</c:v>
                </c:pt>
                <c:pt idx="16">
                  <c:v>0.66565292596421655</c:v>
                </c:pt>
                <c:pt idx="17">
                  <c:v>0.77516970154074527</c:v>
                </c:pt>
                <c:pt idx="18">
                  <c:v>0.8930862099908885</c:v>
                </c:pt>
                <c:pt idx="19">
                  <c:v>1.0192846363284953</c:v>
                </c:pt>
                <c:pt idx="20">
                  <c:v>1.1536469728580168</c:v>
                </c:pt>
                <c:pt idx="21">
                  <c:v>1.2960550224549374</c:v>
                </c:pt>
                <c:pt idx="22">
                  <c:v>1.4463904018428917</c:v>
                </c:pt>
                <c:pt idx="23">
                  <c:v>1.6045345448670789</c:v>
                </c:pt>
                <c:pt idx="24">
                  <c:v>1.7703687057635917</c:v>
                </c:pt>
                <c:pt idx="25">
                  <c:v>1.9437739624242751</c:v>
                </c:pt>
                <c:pt idx="26">
                  <c:v>2.1246312196567372</c:v>
                </c:pt>
                <c:pt idx="27">
                  <c:v>2.3128511191445789</c:v>
                </c:pt>
                <c:pt idx="28">
                  <c:v>2.5084039963978619</c:v>
                </c:pt>
                <c:pt idx="29">
                  <c:v>2.7112900453318853</c:v>
                </c:pt>
                <c:pt idx="30">
                  <c:v>2.9215094342123353</c:v>
                </c:pt>
                <c:pt idx="31">
                  <c:v>3.1390623056262128</c:v>
                </c:pt>
                <c:pt idx="32">
                  <c:v>3.3639487764531877</c:v>
                </c:pt>
                <c:pt idx="33">
                  <c:v>3.596168937837386</c:v>
                </c:pt>
                <c:pt idx="34">
                  <c:v>3.8357228551596076</c:v>
                </c:pt>
                <c:pt idx="35">
                  <c:v>4.0826105680099767</c:v>
                </c:pt>
                <c:pt idx="36">
                  <c:v>4.336817293532202</c:v>
                </c:pt>
                <c:pt idx="37">
                  <c:v>4.5983277538632219</c:v>
                </c:pt>
                <c:pt idx="38">
                  <c:v>4.8671409756608819</c:v>
                </c:pt>
                <c:pt idx="39">
                  <c:v>5.1432559719222475</c:v>
                </c:pt>
                <c:pt idx="40">
                  <c:v>5.4266717479223958</c:v>
                </c:pt>
                <c:pt idx="41">
                  <c:v>5.7173873003768731</c:v>
                </c:pt>
                <c:pt idx="42">
                  <c:v>6.0154016166609923</c:v>
                </c:pt>
                <c:pt idx="43">
                  <c:v>6.3207136740807677</c:v>
                </c:pt>
                <c:pt idx="44">
                  <c:v>6.6333224391908958</c:v>
                </c:pt>
                <c:pt idx="45">
                  <c:v>6.9532268671556769</c:v>
                </c:pt>
                <c:pt idx="46">
                  <c:v>7.2804259011492434</c:v>
                </c:pt>
                <c:pt idx="47">
                  <c:v>7.6149184717918317</c:v>
                </c:pt>
                <c:pt idx="48">
                  <c:v>7.9567034966191779</c:v>
                </c:pt>
                <c:pt idx="49">
                  <c:v>8.3057798795824134</c:v>
                </c:pt>
                <c:pt idx="50">
                  <c:v>8.6621465105761057</c:v>
                </c:pt>
                <c:pt idx="51">
                  <c:v>9.0258022649923042</c:v>
                </c:pt>
                <c:pt idx="52">
                  <c:v>9.39674600329867</c:v>
                </c:pt>
                <c:pt idx="53">
                  <c:v>9.7749765706389393</c:v>
                </c:pt>
                <c:pt idx="54">
                  <c:v>10.160492796454141</c:v>
                </c:pt>
                <c:pt idx="55">
                  <c:v>10.553293494123118</c:v>
                </c:pt>
                <c:pt idx="56">
                  <c:v>10.953377460621033</c:v>
                </c:pt>
                <c:pt idx="57">
                  <c:v>11.36074347619468</c:v>
                </c:pt>
                <c:pt idx="58">
                  <c:v>11.775390304053468</c:v>
                </c:pt>
                <c:pt idx="59">
                  <c:v>12.197316690075109</c:v>
                </c:pt>
                <c:pt idx="60">
                  <c:v>12.626521362525043</c:v>
                </c:pt>
                <c:pt idx="61">
                  <c:v>13.063003031788798</c:v>
                </c:pt>
                <c:pt idx="62">
                  <c:v>13.506760390116462</c:v>
                </c:pt>
                <c:pt idx="63">
                  <c:v>13.957792111378586</c:v>
                </c:pt>
                <c:pt idx="64">
                  <c:v>14.416096850832806</c:v>
                </c:pt>
                <c:pt idx="65">
                  <c:v>14.88167324490062</c:v>
                </c:pt>
                <c:pt idx="66">
                  <c:v>15.354519910953712</c:v>
                </c:pt>
                <c:pt idx="67">
                  <c:v>15.834635447109322</c:v>
                </c:pt>
                <c:pt idx="68">
                  <c:v>16.322018432034156</c:v>
                </c:pt>
                <c:pt idx="69">
                  <c:v>16.816667424756393</c:v>
                </c:pt>
                <c:pt idx="70">
                  <c:v>17.318580964485363</c:v>
                </c:pt>
                <c:pt idx="71">
                  <c:v>17.827757570438511</c:v>
                </c:pt>
                <c:pt idx="72">
                  <c:v>18.344195401050573</c:v>
                </c:pt>
                <c:pt idx="73">
                  <c:v>18.867891912765909</c:v>
                </c:pt>
                <c:pt idx="74">
                  <c:v>19.398844199907973</c:v>
                </c:pt>
                <c:pt idx="75">
                  <c:v>19.937049334983051</c:v>
                </c:pt>
                <c:pt idx="76">
                  <c:v>20.482504368548444</c:v>
                </c:pt>
                <c:pt idx="77">
                  <c:v>21.035206329086257</c:v>
                </c:pt>
                <c:pt idx="78">
                  <c:v>21.595152222882575</c:v>
                </c:pt>
                <c:pt idx="79">
                  <c:v>22.162339033911731</c:v>
                </c:pt>
                <c:pt idx="80">
                  <c:v>22.736763723725492</c:v>
                </c:pt>
                <c:pt idx="81">
                  <c:v>23.318423231346934</c:v>
                </c:pt>
                <c:pt idx="82">
                  <c:v>23.907314473168796</c:v>
                </c:pt>
                <c:pt idx="83">
                  <c:v>24.503434342856153</c:v>
                </c:pt>
                <c:pt idx="84">
                  <c:v>25.106779711253207</c:v>
                </c:pt>
                <c:pt idx="85">
                  <c:v>25.717347426294037</c:v>
                </c:pt>
                <c:pt idx="86">
                  <c:v>26.335134312917177</c:v>
                </c:pt>
                <c:pt idx="87">
                  <c:v>26.960137172983831</c:v>
                </c:pt>
                <c:pt idx="88">
                  <c:v>27.592352785199633</c:v>
                </c:pt>
                <c:pt idx="89">
                  <c:v>28.23177790503977</c:v>
                </c:pt>
                <c:pt idx="90">
                  <c:v>28.878409264677394</c:v>
                </c:pt>
                <c:pt idx="91">
                  <c:v>29.532243572915171</c:v>
                </c:pt>
                <c:pt idx="92">
                  <c:v>30.193277515119874</c:v>
                </c:pt>
                <c:pt idx="93">
                  <c:v>30.861507753159898</c:v>
                </c:pt>
                <c:pt idx="94">
                  <c:v>31.536930925345615</c:v>
                </c:pt>
                <c:pt idx="95">
                  <c:v>32.219543646372458</c:v>
                </c:pt>
                <c:pt idx="96">
                  <c:v>32.909342507266665</c:v>
                </c:pt>
                <c:pt idx="97">
                  <c:v>33.606324075333561</c:v>
                </c:pt>
                <c:pt idx="98">
                  <c:v>34.310484894108342</c:v>
                </c:pt>
                <c:pt idx="99">
                  <c:v>35.021821483309246</c:v>
                </c:pt>
                <c:pt idx="100">
                  <c:v>35.740330338793065</c:v>
                </c:pt>
                <c:pt idx="101">
                  <c:v>36.466007932512895</c:v>
                </c:pt>
                <c:pt idx="102">
                  <c:v>37.198850712478098</c:v>
                </c:pt>
                <c:pt idx="103">
                  <c:v>37.938855102716381</c:v>
                </c:pt>
                <c:pt idx="104">
                  <c:v>38.686017503237935</c:v>
                </c:pt>
                <c:pt idx="105">
                  <c:v>39.440334290001601</c:v>
                </c:pt>
                <c:pt idx="106">
                  <c:v>40.201801814882984</c:v>
                </c:pt>
                <c:pt idx="107">
                  <c:v>40.970416405644443</c:v>
                </c:pt>
                <c:pt idx="108">
                  <c:v>41.74617436590696</c:v>
                </c:pt>
                <c:pt idx="109">
                  <c:v>42.529071975123799</c:v>
                </c:pt>
                <c:pt idx="110">
                  <c:v>43.319105488555927</c:v>
                </c:pt>
                <c:pt idx="111">
                  <c:v>44.116271137249136</c:v>
                </c:pt>
                <c:pt idx="112">
                  <c:v>44.920565128012832</c:v>
                </c:pt>
                <c:pt idx="113">
                  <c:v>45.731983643400469</c:v>
                </c:pt>
                <c:pt idx="114">
                  <c:v>46.550522841691546</c:v>
                </c:pt>
                <c:pt idx="115">
                  <c:v>47.376178856875185</c:v>
                </c:pt>
                <c:pt idx="116">
                  <c:v>48.208947798635201</c:v>
                </c:pt>
                <c:pt idx="117">
                  <c:v>49.048825752336661</c:v>
                </c:pt>
                <c:pt idx="118">
                  <c:v>49.895808779013905</c:v>
                </c:pt>
                <c:pt idx="119">
                  <c:v>50.749892915359951</c:v>
                </c:pt>
                <c:pt idx="120">
                  <c:v>51.611074173717334</c:v>
                </c:pt>
                <c:pt idx="121">
                  <c:v>52.479348542070248</c:v>
                </c:pt>
                <c:pt idx="122">
                  <c:v>53.354711984038062</c:v>
                </c:pt>
                <c:pt idx="123">
                  <c:v>54.237160438870106</c:v>
                </c:pt>
                <c:pt idx="124">
                  <c:v>55.126689821441772</c:v>
                </c:pt>
                <c:pt idx="125">
                  <c:v>56.023296022251806</c:v>
                </c:pt>
                <c:pt idx="126">
                  <c:v>56.926974907420878</c:v>
                </c:pt>
                <c:pt idx="127">
                  <c:v>57.837722318691327</c:v>
                </c:pt>
                <c:pt idx="128">
                  <c:v>58.755534073428123</c:v>
                </c:pt>
                <c:pt idx="129">
                  <c:v>59.680404399144614</c:v>
                </c:pt>
                <c:pt idx="130">
                  <c:v>60.612324366313949</c:v>
                </c:pt>
                <c:pt idx="131">
                  <c:v>61.551283451619859</c:v>
                </c:pt>
                <c:pt idx="132">
                  <c:v>62.497271102957384</c:v>
                </c:pt>
                <c:pt idx="133">
                  <c:v>63.45027673950603</c:v>
                </c:pt>
                <c:pt idx="134">
                  <c:v>64.410289751804186</c:v>
                </c:pt>
                <c:pt idx="135">
                  <c:v>65.377299501824808</c:v>
                </c:pt>
                <c:pt idx="136">
                  <c:v>66.351295323052284</c:v>
                </c:pt>
                <c:pt idx="137">
                  <c:v>67.332266520560481</c:v>
                </c:pt>
                <c:pt idx="138">
                  <c:v>68.320202371092023</c:v>
                </c:pt>
                <c:pt idx="139">
                  <c:v>69.315092123138626</c:v>
                </c:pt>
                <c:pt idx="140">
                  <c:v>70.31692499702261</c:v>
                </c:pt>
                <c:pt idx="141">
                  <c:v>71.325690184979493</c:v>
                </c:pt>
                <c:pt idx="142">
                  <c:v>72.34137685124162</c:v>
                </c:pt>
                <c:pt idx="143">
                  <c:v>73.36397413212292</c:v>
                </c:pt>
                <c:pt idx="144">
                  <c:v>74.393471136104637</c:v>
                </c:pt>
                <c:pt idx="145">
                  <c:v>75.429856943922118</c:v>
                </c:pt>
                <c:pt idx="146">
                  <c:v>76.473120608652536</c:v>
                </c:pt>
                <c:pt idx="147">
                  <c:v>77.523251155803649</c:v>
                </c:pt>
                <c:pt idx="148">
                  <c:v>78.580237583403516</c:v>
                </c:pt>
                <c:pt idx="149">
                  <c:v>79.644068862091089</c:v>
                </c:pt>
                <c:pt idx="150">
                  <c:v>80.714733935207803</c:v>
                </c:pt>
                <c:pt idx="151">
                  <c:v>81.792221718890033</c:v>
                </c:pt>
                <c:pt idx="152">
                  <c:v>82.876521102162428</c:v>
                </c:pt>
                <c:pt idx="153">
                  <c:v>83.96762094703216</c:v>
                </c:pt>
                <c:pt idx="154">
                  <c:v>85.065510088583991</c:v>
                </c:pt>
                <c:pt idx="155">
                  <c:v>86.170177335076204</c:v>
                </c:pt>
                <c:pt idx="156">
                  <c:v>87.28161146803734</c:v>
                </c:pt>
                <c:pt idx="157">
                  <c:v>88.399801242363779</c:v>
                </c:pt>
                <c:pt idx="158">
                  <c:v>89.524735386418087</c:v>
                </c:pt>
                <c:pt idx="159">
                  <c:v>90.656402602128168</c:v>
                </c:pt>
                <c:pt idx="160">
                  <c:v>91.794791565087138</c:v>
                </c:pt>
                <c:pt idx="161">
                  <c:v>92.939890924654023</c:v>
                </c:pt>
                <c:pt idx="162">
                  <c:v>94.091689304055166</c:v>
                </c:pt>
                <c:pt idx="163">
                  <c:v>95.250175300486362</c:v>
                </c:pt>
                <c:pt idx="164">
                  <c:v>96.415337485215687</c:v>
                </c:pt>
                <c:pt idx="165">
                  <c:v>97.587164403687083</c:v>
                </c:pt>
                <c:pt idx="166">
                  <c:v>98.765644575624592</c:v>
                </c:pt>
                <c:pt idx="167">
                  <c:v>99.950766495137273</c:v>
                </c:pt>
                <c:pt idx="168">
                  <c:v>101.14251863082478</c:v>
                </c:pt>
                <c:pt idx="169">
                  <c:v>102.34088942588367</c:v>
                </c:pt>
                <c:pt idx="170">
                  <c:v>103.54586729821423</c:v>
                </c:pt>
                <c:pt idx="171">
                  <c:v>104.75744064052802</c:v>
                </c:pt>
                <c:pt idx="172">
                  <c:v>105.975597820456</c:v>
                </c:pt>
                <c:pt idx="173">
                  <c:v>107.20032718065733</c:v>
                </c:pt>
                <c:pt idx="174">
                  <c:v>108.43161703892868</c:v>
                </c:pt>
                <c:pt idx="175">
                  <c:v>109.66945568831419</c:v>
                </c:pt>
                <c:pt idx="176">
                  <c:v>110.91383139721597</c:v>
                </c:pt>
                <c:pt idx="177">
                  <c:v>112.16473240950522</c:v>
                </c:pt>
                <c:pt idx="178">
                  <c:v>113.42214694463382</c:v>
                </c:pt>
                <c:pt idx="179">
                  <c:v>114.68606319774661</c:v>
                </c:pt>
                <c:pt idx="180">
                  <c:v>115.956469339794</c:v>
                </c:pt>
                <c:pt idx="181">
                  <c:v>117.23335351764533</c:v>
                </c:pt>
                <c:pt idx="182">
                  <c:v>118.5167038542026</c:v>
                </c:pt>
                <c:pt idx="183">
                  <c:v>119.80650844851476</c:v>
                </c:pt>
                <c:pt idx="184">
                  <c:v>121.1027553758925</c:v>
                </c:pt>
                <c:pt idx="185">
                  <c:v>122.4054326880235</c:v>
                </c:pt>
                <c:pt idx="186">
                  <c:v>123.71452841308822</c:v>
                </c:pt>
                <c:pt idx="187">
                  <c:v>125.0300305558761</c:v>
                </c:pt>
                <c:pt idx="188">
                  <c:v>126.35192709790223</c:v>
                </c:pt>
                <c:pt idx="189">
                  <c:v>127.68020599752458</c:v>
                </c:pt>
                <c:pt idx="190">
                  <c:v>129.0148551900615</c:v>
                </c:pt>
                <c:pt idx="191">
                  <c:v>130.35586258790974</c:v>
                </c:pt>
                <c:pt idx="192">
                  <c:v>131.70321608066297</c:v>
                </c:pt>
                <c:pt idx="193">
                  <c:v>133.05690353523062</c:v>
                </c:pt>
                <c:pt idx="194">
                  <c:v>134.41691279595719</c:v>
                </c:pt>
                <c:pt idx="195">
                  <c:v>135.78323168474185</c:v>
                </c:pt>
                <c:pt idx="196">
                  <c:v>137.15584800115866</c:v>
                </c:pt>
                <c:pt idx="197">
                  <c:v>138.53474952257696</c:v>
                </c:pt>
                <c:pt idx="198">
                  <c:v>139.91992400428219</c:v>
                </c:pt>
                <c:pt idx="199">
                  <c:v>141.31135917959716</c:v>
                </c:pt>
                <c:pt idx="200">
                  <c:v>142.70904276000368</c:v>
                </c:pt>
                <c:pt idx="201">
                  <c:v>144.11296243526439</c:v>
                </c:pt>
                <c:pt idx="202">
                  <c:v>145.52310587354515</c:v>
                </c:pt>
                <c:pt idx="203">
                  <c:v>146.93946072153759</c:v>
                </c:pt>
                <c:pt idx="204">
                  <c:v>148.36201460458213</c:v>
                </c:pt>
                <c:pt idx="205">
                  <c:v>149.79075512679125</c:v>
                </c:pt>
                <c:pt idx="206">
                  <c:v>151.22566949051395</c:v>
                </c:pt>
                <c:pt idx="207">
                  <c:v>152.66674411552015</c:v>
                </c:pt>
                <c:pt idx="208">
                  <c:v>154.11396501950296</c:v>
                </c:pt>
                <c:pt idx="209">
                  <c:v>155.56731819887074</c:v>
                </c:pt>
                <c:pt idx="210">
                  <c:v>157.02678962889007</c:v>
                </c:pt>
                <c:pt idx="211">
                  <c:v>158.49236526382896</c:v>
                </c:pt>
                <c:pt idx="212">
                  <c:v>159.96403103710037</c:v>
                </c:pt>
                <c:pt idx="213">
                  <c:v>161.44177286140587</c:v>
                </c:pt>
                <c:pt idx="214">
                  <c:v>162.92557662887964</c:v>
                </c:pt>
                <c:pt idx="215">
                  <c:v>164.41542821123264</c:v>
                </c:pt>
                <c:pt idx="216">
                  <c:v>165.91131345989692</c:v>
                </c:pt>
                <c:pt idx="217">
                  <c:v>167.41321820617031</c:v>
                </c:pt>
                <c:pt idx="218">
                  <c:v>168.92112826136116</c:v>
                </c:pt>
                <c:pt idx="219">
                  <c:v>170.43502941693336</c:v>
                </c:pt>
                <c:pt idx="220">
                  <c:v>171.95490744465144</c:v>
                </c:pt>
                <c:pt idx="221">
                  <c:v>173.48074809672596</c:v>
                </c:pt>
                <c:pt idx="222">
                  <c:v>175.01253710595907</c:v>
                </c:pt>
                <c:pt idx="223">
                  <c:v>176.5502601858901</c:v>
                </c:pt>
                <c:pt idx="224">
                  <c:v>178.09390303094145</c:v>
                </c:pt>
                <c:pt idx="225">
                  <c:v>179.64345131656452</c:v>
                </c:pt>
                <c:pt idx="226">
                  <c:v>181.19889069938594</c:v>
                </c:pt>
                <c:pt idx="227">
                  <c:v>182.76020681735366</c:v>
                </c:pt>
                <c:pt idx="228">
                  <c:v>184.32738528988347</c:v>
                </c:pt>
                <c:pt idx="229">
                  <c:v>185.90041171800542</c:v>
                </c:pt>
                <c:pt idx="230">
                  <c:v>187.47927168451051</c:v>
                </c:pt>
                <c:pt idx="231">
                  <c:v>189.06395075409728</c:v>
                </c:pt>
                <c:pt idx="232">
                  <c:v>190.65443447351876</c:v>
                </c:pt>
                <c:pt idx="233">
                  <c:v>192.2507083717293</c:v>
                </c:pt>
                <c:pt idx="234">
                  <c:v>193.8527579600316</c:v>
                </c:pt>
                <c:pt idx="235">
                  <c:v>195.46056873222372</c:v>
                </c:pt>
                <c:pt idx="236">
                  <c:v>197.0741261647463</c:v>
                </c:pt>
                <c:pt idx="237">
                  <c:v>198.69341571682972</c:v>
                </c:pt>
                <c:pt idx="238">
                  <c:v>200.31842283064137</c:v>
                </c:pt>
                <c:pt idx="239">
                  <c:v>201.94913293143298</c:v>
                </c:pt>
                <c:pt idx="240">
                  <c:v>203.58553142768801</c:v>
                </c:pt>
                <c:pt idx="241">
                  <c:v>205.22760371126896</c:v>
                </c:pt>
                <c:pt idx="242">
                  <c:v>206.87533384250113</c:v>
                </c:pt>
                <c:pt idx="243">
                  <c:v>208.52870323452919</c:v>
                </c:pt>
                <c:pt idx="244">
                  <c:v>210.1876919680021</c:v>
                </c:pt>
                <c:pt idx="245">
                  <c:v>211.85228010651844</c:v>
                </c:pt>
                <c:pt idx="246">
                  <c:v>213.52244769683969</c:v>
                </c:pt>
                <c:pt idx="247">
                  <c:v>215.19817476910347</c:v>
                </c:pt>
                <c:pt idx="248">
                  <c:v>216.87944133703644</c:v>
                </c:pt>
                <c:pt idx="249">
                  <c:v>218.56622739816703</c:v>
                </c:pt>
                <c:pt idx="250">
                  <c:v>220.25851293403795</c:v>
                </c:pt>
                <c:pt idx="251">
                  <c:v>221.95627791041844</c:v>
                </c:pt>
                <c:pt idx="252">
                  <c:v>223.65950227751628</c:v>
                </c:pt>
                <c:pt idx="253">
                  <c:v>225.36816597018955</c:v>
                </c:pt>
                <c:pt idx="254">
                  <c:v>227.08224890815805</c:v>
                </c:pt>
                <c:pt idx="255">
                  <c:v>228.80173099621453</c:v>
                </c:pt>
                <c:pt idx="256">
                  <c:v>230.52659212443558</c:v>
                </c:pt>
                <c:pt idx="257">
                  <c:v>232.25681216839226</c:v>
                </c:pt>
                <c:pt idx="258">
                  <c:v>233.99237098936038</c:v>
                </c:pt>
                <c:pt idx="259">
                  <c:v>235.73324843453059</c:v>
                </c:pt>
                <c:pt idx="260">
                  <c:v>237.47942433721792</c:v>
                </c:pt>
                <c:pt idx="261">
                  <c:v>239.23087851707126</c:v>
                </c:pt>
                <c:pt idx="262">
                  <c:v>240.98759078028229</c:v>
                </c:pt>
                <c:pt idx="263">
                  <c:v>242.74954091979419</c:v>
                </c:pt>
                <c:pt idx="264">
                  <c:v>244.51670871550996</c:v>
                </c:pt>
                <c:pt idx="265">
                  <c:v>246.28907393450035</c:v>
                </c:pt>
                <c:pt idx="266">
                  <c:v>248.06661633121146</c:v>
                </c:pt>
                <c:pt idx="267">
                  <c:v>249.849315647672</c:v>
                </c:pt>
                <c:pt idx="268">
                  <c:v>251.63715161370007</c:v>
                </c:pt>
                <c:pt idx="269">
                  <c:v>253.43010394710961</c:v>
                </c:pt>
                <c:pt idx="270">
                  <c:v>255.22815235391644</c:v>
                </c:pt>
                <c:pt idx="271">
                  <c:v>257.03127652854391</c:v>
                </c:pt>
                <c:pt idx="272">
                  <c:v>258.83945615402814</c:v>
                </c:pt>
                <c:pt idx="273">
                  <c:v>260.65267090222278</c:v>
                </c:pt>
                <c:pt idx="274">
                  <c:v>262.4709004340034</c:v>
                </c:pt>
                <c:pt idx="275">
                  <c:v>264.29412439947146</c:v>
                </c:pt>
                <c:pt idx="276">
                  <c:v>266.12232243815777</c:v>
                </c:pt>
                <c:pt idx="277">
                  <c:v>267.95547417922546</c:v>
                </c:pt>
                <c:pt idx="278">
                  <c:v>269.79355924167282</c:v>
                </c:pt>
                <c:pt idx="279">
                  <c:v>271.63655723453513</c:v>
                </c:pt>
                <c:pt idx="280">
                  <c:v>273.48444775708651</c:v>
                </c:pt>
                <c:pt idx="281">
                  <c:v>275.337210399041</c:v>
                </c:pt>
                <c:pt idx="282">
                  <c:v>277.1948247407534</c:v>
                </c:pt>
                <c:pt idx="283">
                  <c:v>279.05727035341931</c:v>
                </c:pt>
                <c:pt idx="284">
                  <c:v>280.92452834216084</c:v>
                </c:pt>
                <c:pt idx="285">
                  <c:v>282.79658288957563</c:v>
                </c:pt>
                <c:pt idx="286">
                  <c:v>284.67341971298526</c:v>
                </c:pt>
                <c:pt idx="287">
                  <c:v>286.55502452118424</c:v>
                </c:pt>
                <c:pt idx="288">
                  <c:v>288.44138301456792</c:v>
                </c:pt>
                <c:pt idx="289">
                  <c:v>290.33248088525988</c:v>
                </c:pt>
                <c:pt idx="290">
                  <c:v>292.22830381723946</c:v>
                </c:pt>
                <c:pt idx="291">
                  <c:v>294.1288374864688</c:v>
                </c:pt>
                <c:pt idx="292">
                  <c:v>296.03406756101958</c:v>
                </c:pt>
                <c:pt idx="293">
                  <c:v>297.94397970119991</c:v>
                </c:pt>
                <c:pt idx="294">
                  <c:v>299.85855955968071</c:v>
                </c:pt>
                <c:pt idx="295">
                  <c:v>301.77779278162183</c:v>
                </c:pt>
                <c:pt idx="296">
                  <c:v>303.70166500479814</c:v>
                </c:pt>
                <c:pt idx="297">
                  <c:v>305.63016185972509</c:v>
                </c:pt>
                <c:pt idx="298">
                  <c:v>307.56326896978442</c:v>
                </c:pt>
                <c:pt idx="299">
                  <c:v>309.50097195134913</c:v>
                </c:pt>
                <c:pt idx="300">
                  <c:v>311.44325641390867</c:v>
                </c:pt>
                <c:pt idx="301">
                  <c:v>313.39010796019357</c:v>
                </c:pt>
                <c:pt idx="302">
                  <c:v>315.34151218629989</c:v>
                </c:pt>
                <c:pt idx="303">
                  <c:v>317.29745468181352</c:v>
                </c:pt>
                <c:pt idx="304">
                  <c:v>319.25792102993404</c:v>
                </c:pt>
                <c:pt idx="305">
                  <c:v>321.22289680759832</c:v>
                </c:pt>
                <c:pt idx="306">
                  <c:v>323.19236758560413</c:v>
                </c:pt>
                <c:pt idx="307">
                  <c:v>325.16631892873306</c:v>
                </c:pt>
                <c:pt idx="308">
                  <c:v>327.14473639587351</c:v>
                </c:pt>
                <c:pt idx="309">
                  <c:v>329.12760554014312</c:v>
                </c:pt>
                <c:pt idx="310">
                  <c:v>331.1149119090112</c:v>
                </c:pt>
                <c:pt idx="311">
                  <c:v>333.1066410444206</c:v>
                </c:pt>
                <c:pt idx="312">
                  <c:v>335.10277848290946</c:v>
                </c:pt>
                <c:pt idx="313">
                  <c:v>337.1033097557326</c:v>
                </c:pt>
                <c:pt idx="314">
                  <c:v>339.10822038898272</c:v>
                </c:pt>
                <c:pt idx="315">
                  <c:v>341.11749590371107</c:v>
                </c:pt>
                <c:pt idx="316">
                  <c:v>343.13112181604811</c:v>
                </c:pt>
                <c:pt idx="317">
                  <c:v>345.1490836373236</c:v>
                </c:pt>
                <c:pt idx="318">
                  <c:v>347.17136687418656</c:v>
                </c:pt>
                <c:pt idx="319">
                  <c:v>349.19795702872483</c:v>
                </c:pt>
                <c:pt idx="320">
                  <c:v>351.22883959858433</c:v>
                </c:pt>
                <c:pt idx="321">
                  <c:v>353.26400007708804</c:v>
                </c:pt>
                <c:pt idx="322">
                  <c:v>355.30342395335464</c:v>
                </c:pt>
                <c:pt idx="323">
                  <c:v>357.34709671241683</c:v>
                </c:pt>
                <c:pt idx="324">
                  <c:v>359.39500383533931</c:v>
                </c:pt>
                <c:pt idx="325">
                  <c:v>361.44713079933638</c:v>
                </c:pt>
                <c:pt idx="326">
                  <c:v>363.50346317260096</c:v>
                </c:pt>
                <c:pt idx="327">
                  <c:v>365.56398670914376</c:v>
                </c:pt>
                <c:pt idx="328">
                  <c:v>367.62868725416229</c:v>
                </c:pt>
                <c:pt idx="329">
                  <c:v>369.69755064939744</c:v>
                </c:pt>
                <c:pt idx="330">
                  <c:v>371.77056273324575</c:v>
                </c:pt>
                <c:pt idx="331">
                  <c:v>373.84770934087157</c:v>
                </c:pt>
                <c:pt idx="332">
                  <c:v>375.92897630431889</c:v>
                </c:pt>
                <c:pt idx="333">
                  <c:v>378.01434945262264</c:v>
                </c:pt>
                <c:pt idx="334">
                  <c:v>380.10381461191986</c:v>
                </c:pt>
                <c:pt idx="335">
                  <c:v>382.1973576055604</c:v>
                </c:pt>
                <c:pt idx="336">
                  <c:v>384.29496425421752</c:v>
                </c:pt>
                <c:pt idx="337">
                  <c:v>386.39662037599777</c:v>
                </c:pt>
                <c:pt idx="338">
                  <c:v>388.50231178655082</c:v>
                </c:pt>
                <c:pt idx="339">
                  <c:v>390.61202429917893</c:v>
                </c:pt>
                <c:pt idx="340">
                  <c:v>392.72574372494597</c:v>
                </c:pt>
                <c:pt idx="341">
                  <c:v>394.84345587278608</c:v>
                </c:pt>
                <c:pt idx="342">
                  <c:v>396.96514654961214</c:v>
                </c:pt>
                <c:pt idx="343">
                  <c:v>399.09080156042364</c:v>
                </c:pt>
                <c:pt idx="344">
                  <c:v>401.22040670841454</c:v>
                </c:pt>
                <c:pt idx="345">
                  <c:v>403.35394779508039</c:v>
                </c:pt>
                <c:pt idx="346">
                  <c:v>405.49141062032538</c:v>
                </c:pt>
                <c:pt idx="347">
                  <c:v>407.63278098256893</c:v>
                </c:pt>
                <c:pt idx="348">
                  <c:v>409.77804467885187</c:v>
                </c:pt>
                <c:pt idx="349">
                  <c:v>411.92718750494231</c:v>
                </c:pt>
                <c:pt idx="350">
                  <c:v>414.0801952554412</c:v>
                </c:pt>
                <c:pt idx="351">
                  <c:v>416.23705372388736</c:v>
                </c:pt>
                <c:pt idx="352">
                  <c:v>418.39774870286237</c:v>
                </c:pt>
                <c:pt idx="353">
                  <c:v>420.56226598409489</c:v>
                </c:pt>
                <c:pt idx="354">
                  <c:v>422.73059135856465</c:v>
                </c:pt>
                <c:pt idx="355">
                  <c:v>424.90271061660616</c:v>
                </c:pt>
                <c:pt idx="356">
                  <c:v>427.07860954801197</c:v>
                </c:pt>
                <c:pt idx="357">
                  <c:v>429.25827394213553</c:v>
                </c:pt>
                <c:pt idx="358">
                  <c:v>431.44168958799366</c:v>
                </c:pt>
                <c:pt idx="359">
                  <c:v>433.62884227436888</c:v>
                </c:pt>
                <c:pt idx="360">
                  <c:v>435.8197177899109</c:v>
                </c:pt>
                <c:pt idx="361">
                  <c:v>438.01430192323818</c:v>
                </c:pt>
                <c:pt idx="362">
                  <c:v>440.21258046303882</c:v>
                </c:pt>
                <c:pt idx="363">
                  <c:v>442.41453919817116</c:v>
                </c:pt>
                <c:pt idx="364">
                  <c:v>444.62016391776393</c:v>
                </c:pt>
                <c:pt idx="365">
                  <c:v>446.82944041131623</c:v>
                </c:pt>
                <c:pt idx="366">
                  <c:v>449.04235686801997</c:v>
                </c:pt>
                <c:pt idx="367">
                  <c:v>451.25890627594663</c:v>
                </c:pt>
                <c:pt idx="368">
                  <c:v>453.4790840213027</c:v>
                </c:pt>
                <c:pt idx="369">
                  <c:v>455.70288548778672</c:v>
                </c:pt>
                <c:pt idx="370">
                  <c:v>457.93030605662022</c:v>
                </c:pt>
                <c:pt idx="371">
                  <c:v>460.1613411065785</c:v>
                </c:pt>
                <c:pt idx="372">
                  <c:v>462.3959860140215</c:v>
                </c:pt>
                <c:pt idx="373">
                  <c:v>464.63423615292464</c:v>
                </c:pt>
                <c:pt idx="374">
                  <c:v>466.87608689490946</c:v>
                </c:pt>
                <c:pt idx="375">
                  <c:v>469.12153360927442</c:v>
                </c:pt>
                <c:pt idx="376">
                  <c:v>471.37057166302554</c:v>
                </c:pt>
                <c:pt idx="377">
                  <c:v>473.62319642090694</c:v>
                </c:pt>
                <c:pt idx="378">
                  <c:v>475.8794032454316</c:v>
                </c:pt>
                <c:pt idx="379">
                  <c:v>478.13918749691175</c:v>
                </c:pt>
                <c:pt idx="380">
                  <c:v>480.40254453348945</c:v>
                </c:pt>
                <c:pt idx="381">
                  <c:v>482.66946712239582</c:v>
                </c:pt>
                <c:pt idx="382">
                  <c:v>484.93994285144049</c:v>
                </c:pt>
                <c:pt idx="383">
                  <c:v>487.21395671973005</c:v>
                </c:pt>
                <c:pt idx="384">
                  <c:v>489.49149372819176</c:v>
                </c:pt>
                <c:pt idx="385">
                  <c:v>491.77253887967589</c:v>
                </c:pt>
                <c:pt idx="386">
                  <c:v>494.05707717905739</c:v>
                </c:pt>
                <c:pt idx="387">
                  <c:v>496.34509363333717</c:v>
                </c:pt>
                <c:pt idx="388">
                  <c:v>498.63657325174296</c:v>
                </c:pt>
                <c:pt idx="389">
                  <c:v>500.93150104582969</c:v>
                </c:pt>
                <c:pt idx="390">
                  <c:v>503.22986202957929</c:v>
                </c:pt>
                <c:pt idx="391">
                  <c:v>505.53164121950022</c:v>
                </c:pt>
                <c:pt idx="392">
                  <c:v>507.83682363472639</c:v>
                </c:pt>
                <c:pt idx="393">
                  <c:v>510.14539429711579</c:v>
                </c:pt>
                <c:pt idx="394">
                  <c:v>512.45733823134844</c:v>
                </c:pt>
                <c:pt idx="395">
                  <c:v>514.77264046502398</c:v>
                </c:pt>
                <c:pt idx="396">
                  <c:v>517.09128602875876</c:v>
                </c:pt>
                <c:pt idx="397">
                  <c:v>519.41325995628256</c:v>
                </c:pt>
                <c:pt idx="398">
                  <c:v>521.73854728453477</c:v>
                </c:pt>
                <c:pt idx="399">
                  <c:v>524.06713305376013</c:v>
                </c:pt>
                <c:pt idx="400">
                  <c:v>526.39900230760372</c:v>
                </c:pt>
                <c:pt idx="401">
                  <c:v>528.73413806211443</c:v>
                </c:pt>
                <c:pt idx="402">
                  <c:v>531.07251927510788</c:v>
                </c:pt>
                <c:pt idx="403">
                  <c:v>533.4141228791741</c:v>
                </c:pt>
                <c:pt idx="404">
                  <c:v>535.75892581436199</c:v>
                </c:pt>
                <c:pt idx="405">
                  <c:v>538.10690502834689</c:v>
                </c:pt>
                <c:pt idx="406">
                  <c:v>540.45803747659727</c:v>
                </c:pt>
                <c:pt idx="407">
                  <c:v>542.81230012254025</c:v>
                </c:pt>
                <c:pt idx="408">
                  <c:v>545.16966993772633</c:v>
                </c:pt>
                <c:pt idx="409">
                  <c:v>547.53012390199262</c:v>
                </c:pt>
                <c:pt idx="410">
                  <c:v>549.89363900362548</c:v>
                </c:pt>
                <c:pt idx="411">
                  <c:v>552.26018103198612</c:v>
                </c:pt>
                <c:pt idx="412">
                  <c:v>554.62969337290951</c:v>
                </c:pt>
                <c:pt idx="413">
                  <c:v>557.00210822786096</c:v>
                </c:pt>
                <c:pt idx="414">
                  <c:v>559.37735783069593</c:v>
                </c:pt>
                <c:pt idx="415">
                  <c:v>561.75537444857139</c:v>
                </c:pt>
                <c:pt idx="416">
                  <c:v>564.13609038284937</c:v>
                </c:pt>
                <c:pt idx="417">
                  <c:v>566.51943796999171</c:v>
                </c:pt>
                <c:pt idx="418">
                  <c:v>568.90534958244734</c:v>
                </c:pt>
                <c:pt idx="419">
                  <c:v>571.29375762953032</c:v>
                </c:pt>
                <c:pt idx="420">
                  <c:v>573.6845881906446</c:v>
                </c:pt>
                <c:pt idx="421">
                  <c:v>576.07775465102941</c:v>
                </c:pt>
                <c:pt idx="422">
                  <c:v>578.47316407833478</c:v>
                </c:pt>
                <c:pt idx="423">
                  <c:v>580.87072359699778</c:v>
                </c:pt>
                <c:pt idx="424">
                  <c:v>583.27034038975228</c:v>
                </c:pt>
                <c:pt idx="425">
                  <c:v>585.67192169912312</c:v>
                </c:pt>
                <c:pt idx="426">
                  <c:v>588.0753748289053</c:v>
                </c:pt>
                <c:pt idx="427">
                  <c:v>590.48060714562678</c:v>
                </c:pt>
                <c:pt idx="428">
                  <c:v>592.88752607999595</c:v>
                </c:pt>
                <c:pt idx="429">
                  <c:v>595.29603912833375</c:v>
                </c:pt>
                <c:pt idx="430">
                  <c:v>597.70605385398972</c:v>
                </c:pt>
                <c:pt idx="431">
                  <c:v>600.11747788874231</c:v>
                </c:pt>
                <c:pt idx="432">
                  <c:v>602.53020868867725</c:v>
                </c:pt>
                <c:pt idx="433">
                  <c:v>604.94412329669422</c:v>
                </c:pt>
                <c:pt idx="434">
                  <c:v>607.35908860640905</c:v>
                </c:pt>
                <c:pt idx="435">
                  <c:v>609.77497162010548</c:v>
                </c:pt>
                <c:pt idx="436">
                  <c:v>612.19163945146909</c:v>
                </c:pt>
                <c:pt idx="437">
                  <c:v>614.60895932828953</c:v>
                </c:pt>
                <c:pt idx="438">
                  <c:v>617.02679859512921</c:v>
                </c:pt>
                <c:pt idx="439">
                  <c:v>619.44502471595956</c:v>
                </c:pt>
                <c:pt idx="440">
                  <c:v>621.86350527676416</c:v>
                </c:pt>
                <c:pt idx="441">
                  <c:v>624.28210798810926</c:v>
                </c:pt>
                <c:pt idx="442">
                  <c:v>626.70070690358762</c:v>
                </c:pt>
                <c:pt idx="443">
                  <c:v>629.11918863246638</c:v>
                </c:pt>
                <c:pt idx="444">
                  <c:v>631.53744611330728</c:v>
                </c:pt>
                <c:pt idx="445">
                  <c:v>633.95537239288728</c:v>
                </c:pt>
                <c:pt idx="446">
                  <c:v>636.37286062774899</c:v>
                </c:pt>
                <c:pt idx="447">
                  <c:v>638.78980408572988</c:v>
                </c:pt>
                <c:pt idx="448">
                  <c:v>641.20609614746934</c:v>
                </c:pt>
                <c:pt idx="449">
                  <c:v>643.62163030789486</c:v>
                </c:pt>
                <c:pt idx="450">
                  <c:v>646.03630017768614</c:v>
                </c:pt>
                <c:pt idx="451">
                  <c:v>648.44999948471843</c:v>
                </c:pt>
                <c:pt idx="452">
                  <c:v>650.86262207548396</c:v>
                </c:pt>
                <c:pt idx="453">
                  <c:v>653.27407080936712</c:v>
                </c:pt>
                <c:pt idx="454">
                  <c:v>655.68426644265503</c:v>
                </c:pt>
                <c:pt idx="455">
                  <c:v>658.09313871567701</c:v>
                </c:pt>
                <c:pt idx="456">
                  <c:v>660.50061744975415</c:v>
                </c:pt>
                <c:pt idx="457">
                  <c:v>662.90663254769652</c:v>
                </c:pt>
                <c:pt idx="458">
                  <c:v>665.31111399429153</c:v>
                </c:pt>
                <c:pt idx="459">
                  <c:v>667.71399185678308</c:v>
                </c:pt>
                <c:pt idx="460">
                  <c:v>670.11519628534199</c:v>
                </c:pt>
                <c:pt idx="461">
                  <c:v>672.51466551240173</c:v>
                </c:pt>
                <c:pt idx="462">
                  <c:v>674.9123538420082</c:v>
                </c:pt>
                <c:pt idx="463">
                  <c:v>677.30822363121274</c:v>
                </c:pt>
                <c:pt idx="464">
                  <c:v>679.70223728124336</c:v>
                </c:pt>
                <c:pt idx="465">
                  <c:v>682.09435723755632</c:v>
                </c:pt>
                <c:pt idx="466">
                  <c:v>684.48453927189655</c:v>
                </c:pt>
                <c:pt idx="467">
                  <c:v>686.87272577296505</c:v>
                </c:pt>
                <c:pt idx="468">
                  <c:v>689.25877767495854</c:v>
                </c:pt>
                <c:pt idx="469">
                  <c:v>691.6424980206607</c:v>
                </c:pt>
                <c:pt idx="470">
                  <c:v>694.02379838489708</c:v>
                </c:pt>
                <c:pt idx="471">
                  <c:v>696.4026819943565</c:v>
                </c:pt>
                <c:pt idx="472">
                  <c:v>698.77915206715682</c:v>
                </c:pt>
                <c:pt idx="473">
                  <c:v>701.15321181287482</c:v>
                </c:pt>
                <c:pt idx="474">
                  <c:v>703.52486443257601</c:v>
                </c:pt>
                <c:pt idx="475">
                  <c:v>705.89411311884464</c:v>
                </c:pt>
                <c:pt idx="476">
                  <c:v>708.26096105581303</c:v>
                </c:pt>
                <c:pt idx="477">
                  <c:v>710.62541141919132</c:v>
                </c:pt>
                <c:pt idx="478">
                  <c:v>712.98746737629676</c:v>
                </c:pt>
                <c:pt idx="479">
                  <c:v>715.34713208608298</c:v>
                </c:pt>
                <c:pt idx="480">
                  <c:v>717.70440869916888</c:v>
                </c:pt>
                <c:pt idx="481">
                  <c:v>720.05930035786787</c:v>
                </c:pt>
                <c:pt idx="482">
                  <c:v>722.41181019621661</c:v>
                </c:pt>
                <c:pt idx="483">
                  <c:v>724.76194134000377</c:v>
                </c:pt>
                <c:pt idx="484">
                  <c:v>727.10969690679872</c:v>
                </c:pt>
                <c:pt idx="485">
                  <c:v>729.45508000597977</c:v>
                </c:pt>
                <c:pt idx="486">
                  <c:v>731.79809373876265</c:v>
                </c:pt>
                <c:pt idx="487">
                  <c:v>734.13874119822879</c:v>
                </c:pt>
                <c:pt idx="488">
                  <c:v>736.47702546935329</c:v>
                </c:pt>
                <c:pt idx="489">
                  <c:v>738.81294962903314</c:v>
                </c:pt>
                <c:pt idx="490">
                  <c:v>741.14651674611468</c:v>
                </c:pt>
                <c:pt idx="491">
                  <c:v>743.47772988142162</c:v>
                </c:pt>
                <c:pt idx="492">
                  <c:v>745.80659208778275</c:v>
                </c:pt>
                <c:pt idx="493">
                  <c:v>748.1331064100591</c:v>
                </c:pt>
                <c:pt idx="494">
                  <c:v>750.4572758851715</c:v>
                </c:pt>
                <c:pt idx="495">
                  <c:v>752.77910354212781</c:v>
                </c:pt>
                <c:pt idx="496">
                  <c:v>755.09859240205014</c:v>
                </c:pt>
                <c:pt idx="497">
                  <c:v>757.41574547820176</c:v>
                </c:pt>
                <c:pt idx="498">
                  <c:v>759.73056577601392</c:v>
                </c:pt>
                <c:pt idx="499">
                  <c:v>762.04305629311273</c:v>
                </c:pt>
                <c:pt idx="500">
                  <c:v>764.35322001934594</c:v>
                </c:pt>
                <c:pt idx="501">
                  <c:v>787.32711480942896</c:v>
                </c:pt>
                <c:pt idx="502">
                  <c:v>810.07025332253977</c:v>
                </c:pt>
                <c:pt idx="503">
                  <c:v>832.58554919016797</c:v>
                </c:pt>
                <c:pt idx="504">
                  <c:v>854.87584181271234</c:v>
                </c:pt>
                <c:pt idx="505">
                  <c:v>876.94389882779831</c:v>
                </c:pt>
                <c:pt idx="506">
                  <c:v>898.79241847506535</c:v>
                </c:pt>
                <c:pt idx="507">
                  <c:v>920.42403186262084</c:v>
                </c:pt>
                <c:pt idx="508">
                  <c:v>941.84130514005267</c:v>
                </c:pt>
                <c:pt idx="509">
                  <c:v>963.04674158261003</c:v>
                </c:pt>
                <c:pt idx="510">
                  <c:v>984.04278359089744</c:v>
                </c:pt>
                <c:pt idx="511">
                  <c:v>1004.8318146101795</c:v>
                </c:pt>
                <c:pt idx="512">
                  <c:v>1025.416160973163</c:v>
                </c:pt>
                <c:pt idx="513">
                  <c:v>1045.7980936699046</c:v>
                </c:pt>
                <c:pt idx="514">
                  <c:v>1065.9798300482948</c:v>
                </c:pt>
                <c:pt idx="515">
                  <c:v>1085.9635354483714</c:v>
                </c:pt>
                <c:pt idx="516">
                  <c:v>1105.7513247735446</c:v>
                </c:pt>
                <c:pt idx="517">
                  <c:v>1125.345264001646</c:v>
                </c:pt>
                <c:pt idx="518">
                  <c:v>1144.7473716385559</c:v>
                </c:pt>
                <c:pt idx="519">
                  <c:v>1163.95962011702</c:v>
                </c:pt>
                <c:pt idx="520">
                  <c:v>1182.9839371431249</c:v>
                </c:pt>
                <c:pt idx="521">
                  <c:v>1201.8222069927738</c:v>
                </c:pt>
                <c:pt idx="522">
                  <c:v>1220.4762717603826</c:v>
                </c:pt>
                <c:pt idx="523">
                  <c:v>1238.9479325618991</c:v>
                </c:pt>
                <c:pt idx="524">
                  <c:v>1257.2389506941429</c:v>
                </c:pt>
                <c:pt idx="525">
                  <c:v>1275.3510487523606</c:v>
                </c:pt>
                <c:pt idx="526">
                  <c:v>1293.2859117077942</c:v>
                </c:pt>
                <c:pt idx="527">
                  <c:v>1311.0451879469729</c:v>
                </c:pt>
                <c:pt idx="528">
                  <c:v>1328.6304902743507</c:v>
                </c:pt>
                <c:pt idx="529">
                  <c:v>1346.0433968798325</c:v>
                </c:pt>
                <c:pt idx="530">
                  <c:v>1363.2854522726584</c:v>
                </c:pt>
                <c:pt idx="531">
                  <c:v>1380.3581681830399</c:v>
                </c:pt>
                <c:pt idx="532">
                  <c:v>1397.2630244328768</c:v>
                </c:pt>
                <c:pt idx="533">
                  <c:v>1414.0014697768204</c:v>
                </c:pt>
                <c:pt idx="534">
                  <c:v>1430.574922714886</c:v>
                </c:pt>
                <c:pt idx="535">
                  <c:v>1446.9847722777629</c:v>
                </c:pt>
                <c:pt idx="536">
                  <c:v>1463.2323787859132</c:v>
                </c:pt>
                <c:pt idx="537">
                  <c:v>1479.319074583505</c:v>
                </c:pt>
                <c:pt idx="538">
                  <c:v>1495.2461647481691</c:v>
                </c:pt>
                <c:pt idx="539">
                  <c:v>1511.0149277775311</c:v>
                </c:pt>
                <c:pt idx="540">
                  <c:v>1526.6266162534209</c:v>
                </c:pt>
                <c:pt idx="541">
                  <c:v>1542.0824574846247</c:v>
                </c:pt>
                <c:pt idx="542">
                  <c:v>1557.3836541290025</c:v>
                </c:pt>
                <c:pt idx="543">
                  <c:v>1572.5313847957589</c:v>
                </c:pt>
                <c:pt idx="544">
                  <c:v>1587.5268046286199</c:v>
                </c:pt>
                <c:pt idx="545">
                  <c:v>1602.3710458706346</c:v>
                </c:pt>
                <c:pt idx="546">
                  <c:v>1617.0652184112885</c:v>
                </c:pt>
                <c:pt idx="547">
                  <c:v>1631.610410316586</c:v>
                </c:pt>
                <c:pt idx="548">
                  <c:v>1646.0076883427314</c:v>
                </c:pt>
                <c:pt idx="549">
                  <c:v>1660.2580984340093</c:v>
                </c:pt>
                <c:pt idx="550">
                  <c:v>1674.3626662054403</c:v>
                </c:pt>
                <c:pt idx="551">
                  <c:v>1688.3223974107632</c:v>
                </c:pt>
                <c:pt idx="552">
                  <c:v>1702.1382783962722</c:v>
                </c:pt>
                <c:pt idx="553">
                  <c:v>1715.8112765410146</c:v>
                </c:pt>
                <c:pt idx="554">
                  <c:v>1729.3423406838331</c:v>
                </c:pt>
                <c:pt idx="555">
                  <c:v>1742.7324015377169</c:v>
                </c:pt>
                <c:pt idx="556">
                  <c:v>1755.9823720919085</c:v>
                </c:pt>
                <c:pt idx="557">
                  <c:v>1769.0931480021916</c:v>
                </c:pt>
                <c:pt idx="558">
                  <c:v>1782.0656079697703</c:v>
                </c:pt>
                <c:pt idx="559">
                  <c:v>1794.900614109132</c:v>
                </c:pt>
                <c:pt idx="560">
                  <c:v>1807.599012305272</c:v>
                </c:pt>
                <c:pt idx="561">
                  <c:v>1820.1616325606419</c:v>
                </c:pt>
                <c:pt idx="562">
                  <c:v>1832.5892893321686</c:v>
                </c:pt>
                <c:pt idx="563">
                  <c:v>1844.8827818586778</c:v>
                </c:pt>
                <c:pt idx="564">
                  <c:v>1857.0428944790444</c:v>
                </c:pt>
                <c:pt idx="565">
                  <c:v>1869.0703969413755</c:v>
                </c:pt>
                <c:pt idx="566">
                  <c:v>1880.9660447035249</c:v>
                </c:pt>
                <c:pt idx="567">
                  <c:v>1892.7305792252218</c:v>
                </c:pt>
                <c:pt idx="568">
                  <c:v>1904.3647282520901</c:v>
                </c:pt>
                <c:pt idx="569">
                  <c:v>1915.8692060918186</c:v>
                </c:pt>
                <c:pt idx="570">
                  <c:v>1927.2447138827386</c:v>
                </c:pt>
                <c:pt idx="571">
                  <c:v>1938.491939855051</c:v>
                </c:pt>
                <c:pt idx="572">
                  <c:v>1949.6115595849396</c:v>
                </c:pt>
                <c:pt idx="573">
                  <c:v>1960.604236241795</c:v>
                </c:pt>
                <c:pt idx="574">
                  <c:v>1971.4706208287676</c:v>
                </c:pt>
                <c:pt idx="575">
                  <c:v>1982.2113524168608</c:v>
                </c:pt>
                <c:pt idx="576">
                  <c:v>1992.8270583727649</c:v>
                </c:pt>
                <c:pt idx="577">
                  <c:v>2003.3183545806271</c:v>
                </c:pt>
                <c:pt idx="578">
                  <c:v>2013.6858456579469</c:v>
                </c:pt>
                <c:pt idx="579">
                  <c:v>2023.9301251657766</c:v>
                </c:pt>
                <c:pt idx="580">
                  <c:v>2034.0517758134029</c:v>
                </c:pt>
                <c:pt idx="581">
                  <c:v>2044.0513696576772</c:v>
                </c:pt>
                <c:pt idx="582">
                  <c:v>2053.9294682971604</c:v>
                </c:pt>
                <c:pt idx="583">
                  <c:v>2063.6866230612354</c:v>
                </c:pt>
                <c:pt idx="584">
                  <c:v>2073.3233751943421</c:v>
                </c:pt>
                <c:pt idx="585">
                  <c:v>2082.8402560354821</c:v>
                </c:pt>
                <c:pt idx="586">
                  <c:v>2092.237787193133</c:v>
                </c:pt>
                <c:pt idx="587">
                  <c:v>2101.5164807157125</c:v>
                </c:pt>
                <c:pt idx="588">
                  <c:v>2110.6768392577214</c:v>
                </c:pt>
                <c:pt idx="589">
                  <c:v>2119.7193562416974</c:v>
                </c:pt>
                <c:pt idx="590">
                  <c:v>2128.6445160161015</c:v>
                </c:pt>
                <c:pt idx="591">
                  <c:v>2137.4527940092617</c:v>
                </c:pt>
                <c:pt idx="592">
                  <c:v>2146.1446568794845</c:v>
                </c:pt>
                <c:pt idx="593">
                  <c:v>2154.7205626614541</c:v>
                </c:pt>
                <c:pt idx="594">
                  <c:v>2163.1809609090233</c:v>
                </c:pt>
                <c:pt idx="595">
                  <c:v>2171.5262928345091</c:v>
                </c:pt>
                <c:pt idx="596">
                  <c:v>2179.7569914445894</c:v>
                </c:pt>
                <c:pt idx="597">
                  <c:v>2187.8734816729075</c:v>
                </c:pt>
                <c:pt idx="598">
                  <c:v>2195.87618050948</c:v>
                </c:pt>
                <c:pt idx="599">
                  <c:v>2203.7654971270031</c:v>
                </c:pt>
                <c:pt idx="600">
                  <c:v>2211.5418330041498</c:v>
                </c:pt>
                <c:pt idx="601">
                  <c:v>2219.2055820459518</c:v>
                </c:pt>
                <c:pt idx="602">
                  <c:v>2226.7571307013504</c:v>
                </c:pt>
                <c:pt idx="603">
                  <c:v>2234.1968580780053</c:v>
                </c:pt>
                <c:pt idx="604">
                  <c:v>2241.5251360544435</c:v>
                </c:pt>
                <c:pt idx="605">
                  <c:v>2248.7423293896354</c:v>
                </c:pt>
                <c:pt idx="606">
                  <c:v>2255.8487958300743</c:v>
                </c:pt>
                <c:pt idx="607">
                  <c:v>2262.8448862144419</c:v>
                </c:pt>
                <c:pt idx="608">
                  <c:v>2269.730944575937</c:v>
                </c:pt>
                <c:pt idx="609">
                  <c:v>2276.5073082423442</c:v>
                </c:pt>
                <c:pt idx="610">
                  <c:v>2283.1743079339212</c:v>
                </c:pt>
                <c:pt idx="611">
                  <c:v>2289.732267859175</c:v>
                </c:pt>
                <c:pt idx="612">
                  <c:v>2296.1815058086063</c:v>
                </c:pt>
                <c:pt idx="613">
                  <c:v>2302.5223332464934</c:v>
                </c:pt>
                <c:pt idx="614">
                  <c:v>2308.7550554007885</c:v>
                </c:pt>
                <c:pt idx="615">
                  <c:v>2314.8799713512012</c:v>
                </c:pt>
                <c:pt idx="616">
                  <c:v>2320.8973741155405</c:v>
                </c:pt>
                <c:pt idx="617">
                  <c:v>2326.8075507343874</c:v>
                </c:pt>
                <c:pt idx="618">
                  <c:v>2332.6107823541747</c:v>
                </c:pt>
                <c:pt idx="619">
                  <c:v>2338.3073443087433</c:v>
                </c:pt>
                <c:pt idx="620">
                  <c:v>2343.897506199452</c:v>
                </c:pt>
                <c:pt idx="621">
                  <c:v>2349.3815319739124</c:v>
                </c:pt>
                <c:pt idx="622">
                  <c:v>2354.7596800034285</c:v>
                </c:pt>
                <c:pt idx="623">
                  <c:v>2360.0322031592145</c:v>
                </c:pt>
                <c:pt idx="624">
                  <c:v>2365.19934888747</c:v>
                </c:pt>
                <c:pt idx="625">
                  <c:v>2370.2613592833927</c:v>
                </c:pt>
                <c:pt idx="626">
                  <c:v>2375.2184711642089</c:v>
                </c:pt>
                <c:pt idx="627">
                  <c:v>2380.0709161413074</c:v>
                </c:pt>
                <c:pt idx="628">
                  <c:v>2384.8189206915604</c:v>
                </c:pt>
                <c:pt idx="629">
                  <c:v>2389.4627062279201</c:v>
                </c:pt>
                <c:pt idx="630">
                  <c:v>2394.0024891693834</c:v>
                </c:pt>
                <c:pt idx="631">
                  <c:v>2398.4384810104157</c:v>
                </c:pt>
                <c:pt idx="632">
                  <c:v>2402.7708883899354</c:v>
                </c:pt>
                <c:pt idx="633">
                  <c:v>2406.9999131599557</c:v>
                </c:pt>
                <c:pt idx="634">
                  <c:v>2411.1257524539892</c:v>
                </c:pt>
                <c:pt idx="635">
                  <c:v>2415.148598755326</c:v>
                </c:pt>
                <c:pt idx="636">
                  <c:v>2419.068639965295</c:v>
                </c:pt>
                <c:pt idx="637">
                  <c:v>2422.8860594716275</c:v>
                </c:pt>
                <c:pt idx="638">
                  <c:v>2426.6010362170427</c:v>
                </c:pt>
                <c:pt idx="639">
                  <c:v>2430.2137447681848</c:v>
                </c:pt>
                <c:pt idx="640">
                  <c:v>2433.7243553850403</c:v>
                </c:pt>
                <c:pt idx="641">
                  <c:v>2437.1330340909717</c:v>
                </c:pt>
                <c:pt idx="642">
                  <c:v>2440.4399427435119</c:v>
                </c:pt>
                <c:pt idx="643">
                  <c:v>2443.6452391060625</c:v>
                </c:pt>
                <c:pt idx="644">
                  <c:v>2446.7490769206502</c:v>
                </c:pt>
                <c:pt idx="645">
                  <c:v>2449.7516059818931</c:v>
                </c:pt>
                <c:pt idx="646">
                  <c:v>2452.6529722123423</c:v>
                </c:pt>
                <c:pt idx="647">
                  <c:v>2455.4533177393578</c:v>
                </c:pt>
                <c:pt idx="648">
                  <c:v>2458.152780973689</c:v>
                </c:pt>
                <c:pt idx="649">
                  <c:v>2460.7514966899312</c:v>
                </c:pt>
                <c:pt idx="650">
                  <c:v>2463.2495961090235</c:v>
                </c:pt>
                <c:pt idx="651">
                  <c:v>2465.647206982967</c:v>
                </c:pt>
                <c:pt idx="652">
                  <c:v>2467.9444536819292</c:v>
                </c:pt>
                <c:pt idx="653">
                  <c:v>2470.1414572839076</c:v>
                </c:pt>
                <c:pt idx="654">
                  <c:v>2472.2383356671121</c:v>
                </c:pt>
                <c:pt idx="655">
                  <c:v>2474.235203605228</c:v>
                </c:pt>
                <c:pt idx="656">
                  <c:v>2476.1321728657099</c:v>
                </c:pt>
                <c:pt idx="657">
                  <c:v>2477.929352311241</c:v>
                </c:pt>
                <c:pt idx="658">
                  <c:v>2479.6268480044873</c:v>
                </c:pt>
                <c:pt idx="659">
                  <c:v>2481.2247633162556</c:v>
                </c:pt>
                <c:pt idx="660">
                  <c:v>2482.7231990371388</c:v>
                </c:pt>
                <c:pt idx="661">
                  <c:v>2484.1222534927242</c:v>
                </c:pt>
                <c:pt idx="662">
                  <c:v>2485.422022662397</c:v>
                </c:pt>
                <c:pt idx="663">
                  <c:v>2486.6226003017582</c:v>
                </c:pt>
                <c:pt idx="664">
                  <c:v>2487.7240780686329</c:v>
                </c:pt>
                <c:pt idx="665">
                  <c:v>2488.7265456526188</c:v>
                </c:pt>
                <c:pt idx="666">
                  <c:v>2489.6300909080819</c:v>
                </c:pt>
                <c:pt idx="667">
                  <c:v>2490.4347999904735</c:v>
                </c:pt>
                <c:pt idx="668">
                  <c:v>2491.1407574957989</c:v>
                </c:pt>
                <c:pt idx="669">
                  <c:v>2491.7480466030279</c:v>
                </c:pt>
                <c:pt idx="670">
                  <c:v>2492.2567492192002</c:v>
                </c:pt>
                <c:pt idx="671">
                  <c:v>2492.6669461269371</c:v>
                </c:pt>
                <c:pt idx="672">
                  <c:v>2492.9787171340326</c:v>
                </c:pt>
                <c:pt idx="673">
                  <c:v>2493.1921412247634</c:v>
                </c:pt>
                <c:pt idx="674">
                  <c:v>2493.3072967125281</c:v>
                </c:pt>
                <c:pt idx="675">
                  <c:v>2493.3242613933926</c:v>
                </c:pt>
                <c:pt idx="676">
                  <c:v>2493.2431127001055</c:v>
                </c:pt>
                <c:pt idx="677">
                  <c:v>2493.0639278561243</c:v>
                </c:pt>
                <c:pt idx="678">
                  <c:v>2492.786784029186</c:v>
                </c:pt>
                <c:pt idx="679">
                  <c:v>2492.4117584839501</c:v>
                </c:pt>
                <c:pt idx="680">
                  <c:v>2491.9389287332515</c:v>
                </c:pt>
                <c:pt idx="681">
                  <c:v>2491.3683726874997</c:v>
                </c:pt>
                <c:pt idx="682">
                  <c:v>2490.7001688017858</c:v>
                </c:pt>
                <c:pt idx="683">
                  <c:v>2489.9343962202761</c:v>
                </c:pt>
                <c:pt idx="684">
                  <c:v>2489.0711349174958</c:v>
                </c:pt>
                <c:pt idx="685">
                  <c:v>2488.1104658361432</c:v>
                </c:pt>
                <c:pt idx="686">
                  <c:v>2487.0524710211048</c:v>
                </c:pt>
                <c:pt idx="687">
                  <c:v>2485.8972337493751</c:v>
                </c:pt>
                <c:pt idx="688">
                  <c:v>2484.6448386556399</c:v>
                </c:pt>
                <c:pt idx="689">
                  <c:v>2483.2953718533013</c:v>
                </c:pt>
                <c:pt idx="690">
                  <c:v>2481.8489210507769</c:v>
                </c:pt>
                <c:pt idx="691">
                  <c:v>2480.3055756629465</c:v>
                </c:pt>
                <c:pt idx="692">
                  <c:v>2478.6654269176438</c:v>
                </c:pt>
                <c:pt idx="693">
                  <c:v>2476.9285679571467</c:v>
                </c:pt>
                <c:pt idx="694">
                  <c:v>2475.0950939346371</c:v>
                </c:pt>
                <c:pt idx="695">
                  <c:v>2473.165102105645</c:v>
                </c:pt>
                <c:pt idx="696">
                  <c:v>2471.1386919145102</c:v>
                </c:pt>
                <c:pt idx="697">
                  <c:v>2469.0159650759306</c:v>
                </c:pt>
                <c:pt idx="698">
                  <c:v>2466.7970256516783</c:v>
                </c:pt>
                <c:pt idx="699">
                  <c:v>2464.4819801225926</c:v>
                </c:pt>
                <c:pt idx="700">
                  <c:v>2462.0709374559683</c:v>
                </c:pt>
                <c:pt idx="701">
                  <c:v>2459.5640091684759</c:v>
                </c:pt>
                <c:pt idx="702">
                  <c:v>2456.9613093847565</c:v>
                </c:pt>
                <c:pt idx="703">
                  <c:v>2454.2629548918462</c:v>
                </c:pt>
                <c:pt idx="704">
                  <c:v>2451.4690651895849</c:v>
                </c:pt>
                <c:pt idx="705">
                  <c:v>2448.5797625371761</c:v>
                </c:pt>
                <c:pt idx="706">
                  <c:v>2445.5951719960553</c:v>
                </c:pt>
                <c:pt idx="707">
                  <c:v>2442.5154214692343</c:v>
                </c:pt>
                <c:pt idx="708">
                  <c:v>2439.3406417372821</c:v>
                </c:pt>
                <c:pt idx="709">
                  <c:v>2436.0709664911001</c:v>
                </c:pt>
                <c:pt idx="710">
                  <c:v>2432.7065323616503</c:v>
                </c:pt>
                <c:pt idx="711">
                  <c:v>2429.2474789467879</c:v>
                </c:pt>
                <c:pt idx="712">
                  <c:v>2425.6939488353423</c:v>
                </c:pt>
                <c:pt idx="713">
                  <c:v>2422.046087628592</c:v>
                </c:pt>
                <c:pt idx="714">
                  <c:v>2418.3040439592664</c:v>
                </c:pt>
                <c:pt idx="715">
                  <c:v>2414.4679695082082</c:v>
                </c:pt>
                <c:pt idx="716">
                  <c:v>2410.5380190188157</c:v>
                </c:pt>
                <c:pt idx="717">
                  <c:v>2406.51435030939</c:v>
                </c:pt>
                <c:pt idx="718">
                  <c:v>2402.3971242834914</c:v>
                </c:pt>
                <c:pt idx="719">
                  <c:v>2398.1865049384191</c:v>
                </c:pt>
                <c:pt idx="720">
                  <c:v>2393.8826593719104</c:v>
                </c:pt>
                <c:pt idx="721">
                  <c:v>2389.4857577871553</c:v>
                </c:pt>
                <c:pt idx="722">
                  <c:v>2384.9959734962167</c:v>
                </c:pt>
                <c:pt idx="723">
                  <c:v>2380.4134829219406</c:v>
                </c:pt>
                <c:pt idx="724">
                  <c:v>2375.7384655984356</c:v>
                </c:pt>
                <c:pt idx="725">
                  <c:v>2370.9711041701948</c:v>
                </c:pt>
                <c:pt idx="726">
                  <c:v>2366.1115843899352</c:v>
                </c:pt>
                <c:pt idx="727">
                  <c:v>2361.1600951152127</c:v>
                </c:pt>
                <c:pt idx="728">
                  <c:v>2356.1168283038828</c:v>
                </c:pt>
                <c:pt idx="729">
                  <c:v>2350.9819790084571</c:v>
                </c:pt>
                <c:pt idx="730">
                  <c:v>2345.7557453694167</c:v>
                </c:pt>
                <c:pt idx="731">
                  <c:v>2340.4383286075295</c:v>
                </c:pt>
                <c:pt idx="732">
                  <c:v>2335.0299330152188</c:v>
                </c:pt>
                <c:pt idx="733">
                  <c:v>2329.5307659470318</c:v>
                </c:pt>
                <c:pt idx="734">
                  <c:v>2323.9410378092452</c:v>
                </c:pt>
                <c:pt idx="735">
                  <c:v>2318.2609620486501</c:v>
                </c:pt>
                <c:pt idx="736">
                  <c:v>2312.4907551405527</c:v>
                </c:pt>
                <c:pt idx="737">
                  <c:v>2306.6306365760265</c:v>
                </c:pt>
                <c:pt idx="738">
                  <c:v>2300.6808288484453</c:v>
                </c:pt>
                <c:pt idx="739">
                  <c:v>2294.64155743933</c:v>
                </c:pt>
                <c:pt idx="740">
                  <c:v>2288.513050803539</c:v>
                </c:pt>
                <c:pt idx="741">
                  <c:v>2282.2955403538272</c:v>
                </c:pt>
                <c:pt idx="742">
                  <c:v>2275.9892604447978</c:v>
                </c:pt>
                <c:pt idx="743">
                  <c:v>2269.5944483562757</c:v>
                </c:pt>
                <c:pt idx="744">
                  <c:v>2263.1113442761202</c:v>
                </c:pt>
                <c:pt idx="745">
                  <c:v>2256.5401912825014</c:v>
                </c:pt>
                <c:pt idx="746">
                  <c:v>2249.8812353256581</c:v>
                </c:pt>
                <c:pt idx="747">
                  <c:v>2243.1347252091591</c:v>
                </c:pt>
                <c:pt idx="748">
                  <c:v>2236.3009125706835</c:v>
                </c:pt>
                <c:pt idx="749">
                  <c:v>2229.3800518623375</c:v>
                </c:pt>
                <c:pt idx="750">
                  <c:v>2222.3724003305256</c:v>
                </c:pt>
                <c:pt idx="751">
                  <c:v>2215.2782179953902</c:v>
                </c:pt>
                <c:pt idx="752">
                  <c:v>2208.0977676298339</c:v>
                </c:pt>
                <c:pt idx="753">
                  <c:v>2200.83131473814</c:v>
                </c:pt>
                <c:pt idx="754">
                  <c:v>2193.4791275342036</c:v>
                </c:pt>
                <c:pt idx="755">
                  <c:v>2186.0414769193849</c:v>
                </c:pt>
                <c:pt idx="756">
                  <c:v>2178.518636459999</c:v>
                </c:pt>
                <c:pt idx="757">
                  <c:v>2170.9108823644547</c:v>
                </c:pt>
                <c:pt idx="758">
                  <c:v>2163.2184934600473</c:v>
                </c:pt>
                <c:pt idx="759">
                  <c:v>2155.441751169426</c:v>
                </c:pt>
                <c:pt idx="760">
                  <c:v>2147.580939486736</c:v>
                </c:pt>
                <c:pt idx="761">
                  <c:v>2139.6363449534538</c:v>
                </c:pt>
                <c:pt idx="762">
                  <c:v>2131.6082566339182</c:v>
                </c:pt>
                <c:pt idx="763">
                  <c:v>2123.4969660905726</c:v>
                </c:pt>
                <c:pt idx="764">
                  <c:v>2115.3027673589231</c:v>
                </c:pt>
                <c:pt idx="765">
                  <c:v>2107.0259569222226</c:v>
                </c:pt>
                <c:pt idx="766">
                  <c:v>2098.6668336858897</c:v>
                </c:pt>
                <c:pt idx="767">
                  <c:v>2090.2256989516695</c:v>
                </c:pt>
                <c:pt idx="768">
                  <c:v>2081.7028563915455</c:v>
                </c:pt>
                <c:pt idx="769">
                  <c:v>2073.0986120214097</c:v>
                </c:pt>
                <c:pt idx="770">
                  <c:v>2064.4132741744988</c:v>
                </c:pt>
                <c:pt idx="771">
                  <c:v>2055.647153474602</c:v>
                </c:pt>
                <c:pt idx="772">
                  <c:v>2046.8005628090509</c:v>
                </c:pt>
                <c:pt idx="773">
                  <c:v>2037.8738173014965</c:v>
                </c:pt>
                <c:pt idx="774">
                  <c:v>2028.8672342844793</c:v>
                </c:pt>
                <c:pt idx="775">
                  <c:v>2019.7811332718022</c:v>
                </c:pt>
                <c:pt idx="776">
                  <c:v>2010.615835930709</c:v>
                </c:pt>
                <c:pt idx="777">
                  <c:v>2001.3716660538789</c:v>
                </c:pt>
                <c:pt idx="778">
                  <c:v>1992.0489495312411</c:v>
                </c:pt>
                <c:pt idx="779">
                  <c:v>1982.6480143216149</c:v>
                </c:pt>
                <c:pt idx="780">
                  <c:v>1973.1691904241854</c:v>
                </c:pt>
                <c:pt idx="781">
                  <c:v>1963.6128098498164</c:v>
                </c:pt>
                <c:pt idx="782">
                  <c:v>1953.979206592209</c:v>
                </c:pt>
                <c:pt idx="783">
                  <c:v>1944.2687165989121</c:v>
                </c:pt>
                <c:pt idx="784">
                  <c:v>1934.4816777421893</c:v>
                </c:pt>
                <c:pt idx="785">
                  <c:v>1924.6184297897489</c:v>
                </c:pt>
                <c:pt idx="786">
                  <c:v>1914.679314375343</c:v>
                </c:pt>
                <c:pt idx="787">
                  <c:v>1904.6646749692397</c:v>
                </c:pt>
                <c:pt idx="788">
                  <c:v>1894.5748568485772</c:v>
                </c:pt>
                <c:pt idx="789">
                  <c:v>1884.4102070676017</c:v>
                </c:pt>
                <c:pt idx="790">
                  <c:v>1874.171074427798</c:v>
                </c:pt>
                <c:pt idx="791">
                  <c:v>1863.8578094479149</c:v>
                </c:pt>
                <c:pt idx="792">
                  <c:v>1853.4707643338941</c:v>
                </c:pt>
                <c:pt idx="793">
                  <c:v>1843.0102929487064</c:v>
                </c:pt>
                <c:pt idx="794">
                  <c:v>1832.4767507821002</c:v>
                </c:pt>
                <c:pt idx="795">
                  <c:v>1821.8704949202679</c:v>
                </c:pt>
                <c:pt idx="796">
                  <c:v>1811.1918840154365</c:v>
                </c:pt>
                <c:pt idx="797">
                  <c:v>1800.4412782553861</c:v>
                </c:pt>
                <c:pt idx="798">
                  <c:v>1789.6190393329034</c:v>
                </c:pt>
                <c:pt idx="799">
                  <c:v>1778.7255304151722</c:v>
                </c:pt>
                <c:pt idx="800">
                  <c:v>1767.7611161131099</c:v>
                </c:pt>
                <c:pt idx="801">
                  <c:v>1756.7261624506525</c:v>
                </c:pt>
                <c:pt idx="802">
                  <c:v>1745.6210368339941</c:v>
                </c:pt>
                <c:pt idx="803">
                  <c:v>1734.4461080207857</c:v>
                </c:pt>
                <c:pt idx="804">
                  <c:v>1723.2017460892982</c:v>
                </c:pt>
                <c:pt idx="805">
                  <c:v>1711.8883224075551</c:v>
                </c:pt>
                <c:pt idx="806">
                  <c:v>1700.506209602439</c:v>
                </c:pt>
                <c:pt idx="807">
                  <c:v>1689.0557815287789</c:v>
                </c:pt>
                <c:pt idx="808">
                  <c:v>1677.5374132384193</c:v>
                </c:pt>
                <c:pt idx="809">
                  <c:v>1665.95148094928</c:v>
                </c:pt>
                <c:pt idx="810">
                  <c:v>1654.2983620144096</c:v>
                </c:pt>
                <c:pt idx="811">
                  <c:v>1642.5784348910367</c:v>
                </c:pt>
                <c:pt idx="812">
                  <c:v>1630.792079109626</c:v>
                </c:pt>
                <c:pt idx="813">
                  <c:v>1618.9396752429413</c:v>
                </c:pt>
                <c:pt idx="814">
                  <c:v>1607.0216048751222</c:v>
                </c:pt>
                <c:pt idx="815">
                  <c:v>1595.0382505707776</c:v>
                </c:pt>
                <c:pt idx="816">
                  <c:v>1582.9899958441031</c:v>
                </c:pt>
                <c:pt idx="817">
                  <c:v>1570.8772251280232</c:v>
                </c:pt>
                <c:pt idx="818">
                  <c:v>1558.7003237433669</c:v>
                </c:pt>
                <c:pt idx="819">
                  <c:v>1546.4596778680777</c:v>
                </c:pt>
                <c:pt idx="820">
                  <c:v>1534.1556745064661</c:v>
                </c:pt>
                <c:pt idx="821">
                  <c:v>1521.7887014585051</c:v>
                </c:pt>
                <c:pt idx="822">
                  <c:v>1509.3591472891771</c:v>
                </c:pt>
                <c:pt idx="823">
                  <c:v>1496.8674012978743</c:v>
                </c:pt>
                <c:pt idx="824">
                  <c:v>1484.3138534878565</c:v>
                </c:pt>
                <c:pt idx="825">
                  <c:v>1471.6988945357734</c:v>
                </c:pt>
                <c:pt idx="826">
                  <c:v>1459.0229157612534</c:v>
                </c:pt>
                <c:pt idx="827">
                  <c:v>1446.2863090965632</c:v>
                </c:pt>
                <c:pt idx="828">
                  <c:v>1433.489467056344</c:v>
                </c:pt>
                <c:pt idx="829">
                  <c:v>1420.6327827074272</c:v>
                </c:pt>
                <c:pt idx="830">
                  <c:v>1407.7166496387349</c:v>
                </c:pt>
                <c:pt idx="831">
                  <c:v>1394.7414619312681</c:v>
                </c:pt>
                <c:pt idx="832">
                  <c:v>1381.7076141281871</c:v>
                </c:pt>
                <c:pt idx="833">
                  <c:v>1368.6155012049892</c:v>
                </c:pt>
                <c:pt idx="834">
                  <c:v>1355.4655185397871</c:v>
                </c:pt>
                <c:pt idx="835">
                  <c:v>1342.258061883691</c:v>
                </c:pt>
                <c:pt idx="836">
                  <c:v>1328.9935273312992</c:v>
                </c:pt>
                <c:pt idx="837">
                  <c:v>1315.6723112913028</c:v>
                </c:pt>
                <c:pt idx="838">
                  <c:v>1302.2948104572044</c:v>
                </c:pt>
                <c:pt idx="839">
                  <c:v>1288.861421778159</c:v>
                </c:pt>
                <c:pt idx="840">
                  <c:v>1275.3725424299373</c:v>
                </c:pt>
                <c:pt idx="841">
                  <c:v>1261.8285697860185</c:v>
                </c:pt>
                <c:pt idx="842">
                  <c:v>1248.2299013888123</c:v>
                </c:pt>
                <c:pt idx="843">
                  <c:v>1234.5769349210175</c:v>
                </c:pt>
                <c:pt idx="844">
                  <c:v>1220.8700681771195</c:v>
                </c:pt>
                <c:pt idx="845">
                  <c:v>1207.1096990350291</c:v>
                </c:pt>
                <c:pt idx="846">
                  <c:v>1193.2962254278671</c:v>
                </c:pt>
                <c:pt idx="847">
                  <c:v>1179.4300453158992</c:v>
                </c:pt>
                <c:pt idx="848">
                  <c:v>1165.5115566586223</c:v>
                </c:pt>
                <c:pt idx="849">
                  <c:v>1151.5411573870083</c:v>
                </c:pt>
                <c:pt idx="850">
                  <c:v>1137.5192453759055</c:v>
                </c:pt>
                <c:pt idx="851">
                  <c:v>1123.4462184166043</c:v>
                </c:pt>
                <c:pt idx="852">
                  <c:v>1109.3224741895679</c:v>
                </c:pt>
                <c:pt idx="853">
                  <c:v>1095.1484102373315</c:v>
                </c:pt>
                <c:pt idx="854">
                  <c:v>1080.9244239375762</c:v>
                </c:pt>
                <c:pt idx="855">
                  <c:v>1066.6509124763743</c:v>
                </c:pt>
                <c:pt idx="856">
                  <c:v>1052.3282728216168</c:v>
                </c:pt>
                <c:pt idx="857">
                  <c:v>1037.9569016966186</c:v>
                </c:pt>
                <c:pt idx="858">
                  <c:v>1023.5371955539113</c:v>
                </c:pt>
                <c:pt idx="859">
                  <c:v>1009.0695505492196</c:v>
                </c:pt>
                <c:pt idx="860">
                  <c:v>994.55436251563037</c:v>
                </c:pt>
                <c:pt idx="861">
                  <c:v>979.99202693795257</c:v>
                </c:pt>
                <c:pt idx="862">
                  <c:v>965.38293892727302</c:v>
                </c:pt>
                <c:pt idx="863">
                  <c:v>950.72749319571005</c:v>
                </c:pt>
                <c:pt idx="864">
                  <c:v>936.02608403136765</c:v>
                </c:pt>
                <c:pt idx="865">
                  <c:v>921.27910527349241</c:v>
                </c:pt>
                <c:pt idx="866">
                  <c:v>906.48695028783629</c:v>
                </c:pt>
                <c:pt idx="867">
                  <c:v>891.65001194222714</c:v>
                </c:pt>
                <c:pt idx="868">
                  <c:v>876.76868258234913</c:v>
                </c:pt>
                <c:pt idx="869">
                  <c:v>861.84335400773648</c:v>
                </c:pt>
                <c:pt idx="870">
                  <c:v>846.8744174479815</c:v>
                </c:pt>
                <c:pt idx="871">
                  <c:v>831.86226353915947</c:v>
                </c:pt>
                <c:pt idx="872">
                  <c:v>816.80728230047293</c:v>
                </c:pt>
                <c:pt idx="873">
                  <c:v>801.70986311111733</c:v>
                </c:pt>
                <c:pt idx="874">
                  <c:v>786.57039468736934</c:v>
                </c:pt>
                <c:pt idx="875">
                  <c:v>771.38926505990071</c:v>
                </c:pt>
                <c:pt idx="876">
                  <c:v>756.16686155131913</c:v>
                </c:pt>
                <c:pt idx="877">
                  <c:v>740.90357075393774</c:v>
                </c:pt>
                <c:pt idx="878">
                  <c:v>725.59977850777545</c:v>
                </c:pt>
                <c:pt idx="879">
                  <c:v>710.25586987878989</c:v>
                </c:pt>
                <c:pt idx="880">
                  <c:v>694.87222913734377</c:v>
                </c:pt>
                <c:pt idx="881">
                  <c:v>679.44923973690743</c:v>
                </c:pt>
                <c:pt idx="882">
                  <c:v>663.98728429299808</c:v>
                </c:pt>
                <c:pt idx="883">
                  <c:v>648.48674456235824</c:v>
                </c:pt>
                <c:pt idx="884">
                  <c:v>632.94800142237375</c:v>
                </c:pt>
                <c:pt idx="885">
                  <c:v>617.37143485073341</c:v>
                </c:pt>
                <c:pt idx="886">
                  <c:v>601.75742390533139</c:v>
                </c:pt>
                <c:pt idx="887">
                  <c:v>586.10634670441357</c:v>
                </c:pt>
                <c:pt idx="888">
                  <c:v>570.418580406969</c:v>
                </c:pt>
                <c:pt idx="889">
                  <c:v>554.69450119336761</c:v>
                </c:pt>
                <c:pt idx="890">
                  <c:v>538.93448424624535</c:v>
                </c:pt>
                <c:pt idx="891">
                  <c:v>523.13890373163792</c:v>
                </c:pt>
                <c:pt idx="892">
                  <c:v>507.30813278036345</c:v>
                </c:pt>
                <c:pt idx="893">
                  <c:v>491.44254346965533</c:v>
                </c:pt>
                <c:pt idx="894">
                  <c:v>475.54250680504663</c:v>
                </c:pt>
                <c:pt idx="895">
                  <c:v>459.6083927025058</c:v>
                </c:pt>
                <c:pt idx="896">
                  <c:v>443.6405699708252</c:v>
                </c:pt>
                <c:pt idx="897">
                  <c:v>427.63940629426281</c:v>
                </c:pt>
                <c:pt idx="898">
                  <c:v>411.6052682154376</c:v>
                </c:pt>
                <c:pt idx="899">
                  <c:v>395.53852111847954</c:v>
                </c:pt>
                <c:pt idx="900">
                  <c:v>379.43952921243419</c:v>
                </c:pt>
                <c:pt idx="901">
                  <c:v>363.3086555149228</c:v>
                </c:pt>
                <c:pt idx="902">
                  <c:v>347.14626183605793</c:v>
                </c:pt>
                <c:pt idx="903">
                  <c:v>330.95270876261537</c:v>
                </c:pt>
                <c:pt idx="904">
                  <c:v>314.72835564246191</c:v>
                </c:pt>
                <c:pt idx="905">
                  <c:v>298.47356056924002</c:v>
                </c:pt>
                <c:pt idx="906">
                  <c:v>282.1886803673089</c:v>
                </c:pt>
                <c:pt idx="907">
                  <c:v>265.87407057694259</c:v>
                </c:pt>
                <c:pt idx="908">
                  <c:v>249.53008543978461</c:v>
                </c:pt>
                <c:pt idx="909">
                  <c:v>233.1570778845597</c:v>
                </c:pt>
                <c:pt idx="910">
                  <c:v>216.75539951304216</c:v>
                </c:pt>
                <c:pt idx="911">
                  <c:v>200.32540058628106</c:v>
                </c:pt>
                <c:pt idx="912">
                  <c:v>183.86743001108186</c:v>
                </c:pt>
                <c:pt idx="913">
                  <c:v>167.38183532674441</c:v>
                </c:pt>
                <c:pt idx="914">
                  <c:v>150.86896269205704</c:v>
                </c:pt>
                <c:pt idx="915">
                  <c:v>134.32915687254652</c:v>
                </c:pt>
                <c:pt idx="916">
                  <c:v>117.7627612279833</c:v>
                </c:pt>
                <c:pt idx="917">
                  <c:v>101.17011770014194</c:v>
                </c:pt>
                <c:pt idx="918">
                  <c:v>84.551566800816019</c:v>
                </c:pt>
                <c:pt idx="919">
                  <c:v>67.907447600087224</c:v>
                </c:pt>
                <c:pt idx="920">
                  <c:v>51.238097714847981</c:v>
                </c:pt>
                <c:pt idx="921">
                  <c:v>34.543853297577002</c:v>
                </c:pt>
                <c:pt idx="922">
                  <c:v>17.825049025367225</c:v>
                </c:pt>
                <c:pt idx="923">
                  <c:v>1.0820180892053841</c:v>
                </c:pt>
                <c:pt idx="924">
                  <c:v>-15.684907816497475</c:v>
                </c:pt>
                <c:pt idx="925">
                  <c:v>-15.701686618852097</c:v>
                </c:pt>
                <c:pt idx="926">
                  <c:v>-15.718465444606622</c:v>
                </c:pt>
                <c:pt idx="927">
                  <c:v>-15.735244293760722</c:v>
                </c:pt>
                <c:pt idx="928">
                  <c:v>-15.75202316631407</c:v>
                </c:pt>
                <c:pt idx="929">
                  <c:v>-15.768802062266339</c:v>
                </c:pt>
                <c:pt idx="930">
                  <c:v>-15.785580981617201</c:v>
                </c:pt>
                <c:pt idx="931">
                  <c:v>-15.80235992436633</c:v>
                </c:pt>
                <c:pt idx="932">
                  <c:v>-15.819138890513399</c:v>
                </c:pt>
                <c:pt idx="933">
                  <c:v>-15.835917880058078</c:v>
                </c:pt>
                <c:pt idx="934">
                  <c:v>-15.852696893000042</c:v>
                </c:pt>
                <c:pt idx="935">
                  <c:v>-15.869475929338964</c:v>
                </c:pt>
                <c:pt idx="936">
                  <c:v>-15.886254989074517</c:v>
                </c:pt>
                <c:pt idx="937">
                  <c:v>-15.903034072206372</c:v>
                </c:pt>
                <c:pt idx="938">
                  <c:v>-15.919813178734204</c:v>
                </c:pt>
                <c:pt idx="939">
                  <c:v>-15.936592308657684</c:v>
                </c:pt>
                <c:pt idx="940">
                  <c:v>-15.953371461976484</c:v>
                </c:pt>
                <c:pt idx="941">
                  <c:v>-15.97015063869028</c:v>
                </c:pt>
                <c:pt idx="942">
                  <c:v>-15.986929838798742</c:v>
                </c:pt>
                <c:pt idx="943">
                  <c:v>-16.003709062301546</c:v>
                </c:pt>
                <c:pt idx="944">
                  <c:v>-16.02048830919836</c:v>
                </c:pt>
                <c:pt idx="945">
                  <c:v>-16.037267579488862</c:v>
                </c:pt>
                <c:pt idx="946">
                  <c:v>-16.054046873172723</c:v>
                </c:pt>
                <c:pt idx="947">
                  <c:v>-16.070826190249612</c:v>
                </c:pt>
                <c:pt idx="948">
                  <c:v>-16.087605530719205</c:v>
                </c:pt>
                <c:pt idx="949">
                  <c:v>-16.104384894581177</c:v>
                </c:pt>
                <c:pt idx="950">
                  <c:v>-16.121164281835195</c:v>
                </c:pt>
                <c:pt idx="951">
                  <c:v>-16.137943692480938</c:v>
                </c:pt>
                <c:pt idx="952">
                  <c:v>-16.154723126518075</c:v>
                </c:pt>
                <c:pt idx="953">
                  <c:v>-16.171502583946282</c:v>
                </c:pt>
                <c:pt idx="954">
                  <c:v>-16.188282064765229</c:v>
                </c:pt>
                <c:pt idx="955">
                  <c:v>-16.205061568974589</c:v>
                </c:pt>
                <c:pt idx="956">
                  <c:v>-16.221841096574035</c:v>
                </c:pt>
                <c:pt idx="957">
                  <c:v>-16.238620647563241</c:v>
                </c:pt>
                <c:pt idx="958">
                  <c:v>-16.25540022194188</c:v>
                </c:pt>
                <c:pt idx="959">
                  <c:v>-16.272179819709624</c:v>
                </c:pt>
                <c:pt idx="960">
                  <c:v>-16.288959440866144</c:v>
                </c:pt>
                <c:pt idx="961">
                  <c:v>-16.305739085411115</c:v>
                </c:pt>
                <c:pt idx="962">
                  <c:v>-16.322518753344209</c:v>
                </c:pt>
                <c:pt idx="963">
                  <c:v>-16.339298444665101</c:v>
                </c:pt>
                <c:pt idx="964">
                  <c:v>-16.35607815937346</c:v>
                </c:pt>
                <c:pt idx="965">
                  <c:v>-16.372857897468961</c:v>
                </c:pt>
                <c:pt idx="966">
                  <c:v>-16.389637658951276</c:v>
                </c:pt>
                <c:pt idx="967">
                  <c:v>-16.406417443820082</c:v>
                </c:pt>
                <c:pt idx="968">
                  <c:v>-16.423197252075045</c:v>
                </c:pt>
                <c:pt idx="969">
                  <c:v>-16.439977083715842</c:v>
                </c:pt>
                <c:pt idx="970">
                  <c:v>-16.456756938742146</c:v>
                </c:pt>
                <c:pt idx="971">
                  <c:v>-16.473536817153629</c:v>
                </c:pt>
                <c:pt idx="972">
                  <c:v>-16.490316718949963</c:v>
                </c:pt>
                <c:pt idx="973">
                  <c:v>-16.507096644130822</c:v>
                </c:pt>
                <c:pt idx="974">
                  <c:v>-16.523876592695878</c:v>
                </c:pt>
                <c:pt idx="975">
                  <c:v>-16.540656564644806</c:v>
                </c:pt>
                <c:pt idx="976">
                  <c:v>-16.557436559977276</c:v>
                </c:pt>
                <c:pt idx="977">
                  <c:v>-16.574216578692962</c:v>
                </c:pt>
                <c:pt idx="978">
                  <c:v>-16.590996620791536</c:v>
                </c:pt>
                <c:pt idx="979">
                  <c:v>-16.607776686272672</c:v>
                </c:pt>
                <c:pt idx="980">
                  <c:v>-16.624556775136043</c:v>
                </c:pt>
                <c:pt idx="981">
                  <c:v>-16.641336887381321</c:v>
                </c:pt>
                <c:pt idx="982">
                  <c:v>-16.658117023008181</c:v>
                </c:pt>
                <c:pt idx="983">
                  <c:v>-16.674897182016295</c:v>
                </c:pt>
                <c:pt idx="984">
                  <c:v>-16.691677364405333</c:v>
                </c:pt>
                <c:pt idx="985">
                  <c:v>-16.708457570174971</c:v>
                </c:pt>
                <c:pt idx="986">
                  <c:v>-16.72523779932488</c:v>
                </c:pt>
                <c:pt idx="987">
                  <c:v>-16.742018051854735</c:v>
                </c:pt>
                <c:pt idx="988">
                  <c:v>-16.758798327764207</c:v>
                </c:pt>
                <c:pt idx="989">
                  <c:v>-16.775578627052969</c:v>
                </c:pt>
                <c:pt idx="990">
                  <c:v>-16.792358949720693</c:v>
                </c:pt>
                <c:pt idx="991">
                  <c:v>-16.809139295767054</c:v>
                </c:pt>
                <c:pt idx="992">
                  <c:v>-16.825919665191723</c:v>
                </c:pt>
                <c:pt idx="993">
                  <c:v>-16.842700057994374</c:v>
                </c:pt>
                <c:pt idx="994">
                  <c:v>-16.859480474174681</c:v>
                </c:pt>
                <c:pt idx="995">
                  <c:v>-16.876260913732317</c:v>
                </c:pt>
                <c:pt idx="996">
                  <c:v>-16.893041376666954</c:v>
                </c:pt>
                <c:pt idx="997">
                  <c:v>-16.909821862978262</c:v>
                </c:pt>
                <c:pt idx="998">
                  <c:v>-16.926602372665918</c:v>
                </c:pt>
                <c:pt idx="999">
                  <c:v>-16.943382905729592</c:v>
                </c:pt>
                <c:pt idx="1000">
                  <c:v>-16.960163462168957</c:v>
                </c:pt>
              </c:numCache>
            </c:numRef>
          </c:yVal>
          <c:smooth val="1"/>
          <c:extLst>
            <c:ext xmlns:c16="http://schemas.microsoft.com/office/drawing/2014/chart" uri="{C3380CC4-5D6E-409C-BE32-E72D297353CC}">
              <c16:uniqueId val="{00000002-3E62-4C97-96C4-8569A9DB8ECB}"/>
            </c:ext>
          </c:extLst>
        </c:ser>
        <c:ser>
          <c:idx val="4"/>
          <c:order val="3"/>
          <c:tx>
            <c:strRef>
              <c:f>Trajecto!$B$109</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Trajecto!$B$140:$B$146</c:f>
              <c:numCache>
                <c:formatCode>0</c:formatCode>
                <c:ptCount val="7"/>
                <c:pt idx="0">
                  <c:v>0</c:v>
                </c:pt>
                <c:pt idx="1">
                  <c:v>0</c:v>
                </c:pt>
                <c:pt idx="2">
                  <c:v>0</c:v>
                </c:pt>
                <c:pt idx="3">
                  <c:v>0</c:v>
                </c:pt>
                <c:pt idx="4">
                  <c:v>0</c:v>
                </c:pt>
                <c:pt idx="5">
                  <c:v>0</c:v>
                </c:pt>
                <c:pt idx="6">
                  <c:v>0</c:v>
                </c:pt>
              </c:numCache>
            </c:numRef>
          </c:xVal>
          <c:yVal>
            <c:numRef>
              <c:f>Trajecto!$C$138:$C$144</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3E62-4C97-96C4-8569A9DB8ECB}"/>
            </c:ext>
          </c:extLst>
        </c:ser>
        <c:ser>
          <c:idx val="5"/>
          <c:order val="4"/>
          <c:tx>
            <c:strRef>
              <c:f>Trajecto!$B$106</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0</c:v>
                </c:pt>
                <c:pt idx="1">
                  <c:v>6.5123094918114621E-5</c:v>
                </c:pt>
                <c:pt idx="2">
                  <c:v>4.2488242924534284E-4</c:v>
                </c:pt>
                <c:pt idx="3">
                  <c:v>1.3119003432585578E-3</c:v>
                </c:pt>
                <c:pt idx="4">
                  <c:v>2.8626887034418225E-3</c:v>
                </c:pt>
                <c:pt idx="5">
                  <c:v>5.2138617293519063E-3</c:v>
                </c:pt>
                <c:pt idx="6">
                  <c:v>8.5021515086477449E-3</c:v>
                </c:pt>
                <c:pt idx="7">
                  <c:v>1.2864423413201102E-2</c:v>
                </c:pt>
                <c:pt idx="8">
                  <c:v>1.8437691421634678E-2</c:v>
                </c:pt>
                <c:pt idx="9">
                  <c:v>2.5359133353511212E-2</c:v>
                </c:pt>
                <c:pt idx="10">
                  <c:v>3.3766106020279227E-2</c:v>
                </c:pt>
                <c:pt idx="11">
                  <c:v>4.3756900129986058E-2</c:v>
                </c:pt>
                <c:pt idx="12">
                  <c:v>5.5351409042305517E-2</c:v>
                </c:pt>
                <c:pt idx="13">
                  <c:v>6.8529971224079847E-2</c:v>
                </c:pt>
                <c:pt idx="14">
                  <c:v>8.3272290984132441E-2</c:v>
                </c:pt>
                <c:pt idx="15">
                  <c:v>9.9557737101413218E-2</c:v>
                </c:pt>
                <c:pt idx="16">
                  <c:v>0.11736564205836292</c:v>
                </c:pt>
                <c:pt idx="17">
                  <c:v>0.13667530262097169</c:v>
                </c:pt>
                <c:pt idx="18">
                  <c:v>0.15746598041853035</c:v>
                </c:pt>
                <c:pt idx="19">
                  <c:v>0.17971690252300429</c:v>
                </c:pt>
                <c:pt idx="20">
                  <c:v>0.20340726202796072</c:v>
                </c:pt>
                <c:pt idx="21">
                  <c:v>0.22851621862697996</c:v>
                </c:pt>
                <c:pt idx="22">
                  <c:v>0.25502289919148236</c:v>
                </c:pt>
                <c:pt idx="23">
                  <c:v>0.2829063983479021</c:v>
                </c:pt>
                <c:pt idx="24">
                  <c:v>0.31214577905414076</c:v>
                </c:pt>
                <c:pt idx="25">
                  <c:v>0.34272007317523245</c:v>
                </c:pt>
                <c:pt idx="26">
                  <c:v>0.37460828205815394</c:v>
                </c:pt>
                <c:pt idx="27">
                  <c:v>0.40779465020164973</c:v>
                </c:pt>
                <c:pt idx="28">
                  <c:v>0.44227394721126667</c:v>
                </c:pt>
                <c:pt idx="29">
                  <c:v>0.47804620727208241</c:v>
                </c:pt>
                <c:pt idx="30">
                  <c:v>0.51511146004645958</c:v>
                </c:pt>
                <c:pt idx="31">
                  <c:v>0.55346973066891936</c:v>
                </c:pt>
                <c:pt idx="32">
                  <c:v>0.59312103974109032</c:v>
                </c:pt>
                <c:pt idx="33">
                  <c:v>0.634065403326734</c:v>
                </c:pt>
                <c:pt idx="34">
                  <c:v>0.67630283294684612</c:v>
                </c:pt>
                <c:pt idx="35">
                  <c:v>0.71983333557483398</c:v>
                </c:pt>
                <c:pt idx="36">
                  <c:v>0.76474082948383737</c:v>
                </c:pt>
                <c:pt idx="37">
                  <c:v>0.81111188414689017</c:v>
                </c:pt>
                <c:pt idx="38">
                  <c:v>0.85895177799049927</c:v>
                </c:pt>
                <c:pt idx="39">
                  <c:v>0.90826569656634382</c:v>
                </c:pt>
                <c:pt idx="40">
                  <c:v>0.95905870003008331</c:v>
                </c:pt>
                <c:pt idx="41">
                  <c:v>1.0113357289405205</c:v>
                </c:pt>
                <c:pt idx="42">
                  <c:v>1.0651016096374739</c:v>
                </c:pt>
                <c:pt idx="43">
                  <c:v>1.1203610592385032</c:v>
                </c:pt>
                <c:pt idx="44">
                  <c:v>1.1771186902899375</c:v>
                </c:pt>
                <c:pt idx="45">
                  <c:v>1.2353790151036066</c:v>
                </c:pt>
                <c:pt idx="46">
                  <c:v>1.2951464498071688</c:v>
                </c:pt>
                <c:pt idx="47">
                  <c:v>1.3564253181328909</c:v>
                </c:pt>
                <c:pt idx="48">
                  <c:v>1.4192198549670787</c:v>
                </c:pt>
                <c:pt idx="49">
                  <c:v>1.4835342096800388</c:v>
                </c:pt>
                <c:pt idx="50">
                  <c:v>1.5493724492544252</c:v>
                </c:pt>
                <c:pt idx="51">
                  <c:v>1.6167385612280272</c:v>
                </c:pt>
                <c:pt idx="52">
                  <c:v>1.6856364564654891</c:v>
                </c:pt>
                <c:pt idx="53">
                  <c:v>1.7560699717720525</c:v>
                </c:pt>
                <c:pt idx="54">
                  <c:v>1.8280428723611777</c:v>
                </c:pt>
                <c:pt idx="55">
                  <c:v>1.9015588541868069</c:v>
                </c:pt>
                <c:pt idx="56">
                  <c:v>1.9766215461500516</c:v>
                </c:pt>
                <c:pt idx="57">
                  <c:v>2.0532345121892144</c:v>
                </c:pt>
                <c:pt idx="58">
                  <c:v>2.1314012532612781</c:v>
                </c:pt>
                <c:pt idx="59">
                  <c:v>2.2111252092222911</c:v>
                </c:pt>
                <c:pt idx="60">
                  <c:v>2.2924097606134555</c:v>
                </c:pt>
                <c:pt idx="61">
                  <c:v>2.3752582303591545</c:v>
                </c:pt>
                <c:pt idx="62">
                  <c:v>2.4596738853826476</c:v>
                </c:pt>
                <c:pt idx="63">
                  <c:v>2.5456599381447038</c:v>
                </c:pt>
                <c:pt idx="64">
                  <c:v>2.6332195481100231</c:v>
                </c:pt>
                <c:pt idx="65">
                  <c:v>2.7223558231459228</c:v>
                </c:pt>
                <c:pt idx="66">
                  <c:v>2.8130718208574184</c:v>
                </c:pt>
                <c:pt idx="67">
                  <c:v>2.9053705498625217</c:v>
                </c:pt>
                <c:pt idx="68">
                  <c:v>2.9992549710112946</c:v>
                </c:pt>
                <c:pt idx="69">
                  <c:v>3.0947279985519311</c:v>
                </c:pt>
                <c:pt idx="70">
                  <c:v>3.1917925012469177</c:v>
                </c:pt>
                <c:pt idx="71">
                  <c:v>3.2904513034420932</c:v>
                </c:pt>
                <c:pt idx="72">
                  <c:v>3.3907071200286838</c:v>
                </c:pt>
                <c:pt idx="73">
                  <c:v>3.4925624909091733</c:v>
                </c:pt>
                <c:pt idx="74">
                  <c:v>3.5960198473998877</c:v>
                </c:pt>
                <c:pt idx="75">
                  <c:v>3.7010815790625271</c:v>
                </c:pt>
                <c:pt idx="76">
                  <c:v>3.807750034598075</c:v>
                </c:pt>
                <c:pt idx="77">
                  <c:v>3.9160275227059538</c:v>
                </c:pt>
                <c:pt idx="78">
                  <c:v>4.0259163129102244</c:v>
                </c:pt>
                <c:pt idx="79">
                  <c:v>4.1374186363545178</c:v>
                </c:pt>
                <c:pt idx="80">
                  <c:v>4.2505366865672665</c:v>
                </c:pt>
                <c:pt idx="81">
                  <c:v>4.3652726201987226</c:v>
                </c:pt>
                <c:pt idx="82">
                  <c:v>4.4816285577311517</c:v>
                </c:pt>
                <c:pt idx="83">
                  <c:v>4.5996065841634914</c:v>
                </c:pt>
                <c:pt idx="84">
                  <c:v>4.7192087496717212</c:v>
                </c:pt>
                <c:pt idx="85">
                  <c:v>4.8404370702460779</c:v>
                </c:pt>
                <c:pt idx="86">
                  <c:v>4.9632935283062087</c:v>
                </c:pt>
                <c:pt idx="87">
                  <c:v>5.0877800732952894</c:v>
                </c:pt>
                <c:pt idx="88">
                  <c:v>5.2138986222540584</c:v>
                </c:pt>
                <c:pt idx="89">
                  <c:v>5.3416510603756917</c:v>
                </c:pt>
                <c:pt idx="90">
                  <c:v>5.4710392415423597</c:v>
                </c:pt>
                <c:pt idx="91">
                  <c:v>5.6020649888442948</c:v>
                </c:pt>
                <c:pt idx="92">
                  <c:v>5.7347300950821225</c:v>
                </c:pt>
                <c:pt idx="93">
                  <c:v>5.8690363232531855</c:v>
                </c:pt>
                <c:pt idx="94">
                  <c:v>6.004985407022553</c:v>
                </c:pt>
                <c:pt idx="95">
                  <c:v>6.1425790511793554</c:v>
                </c:pt>
                <c:pt idx="96">
                  <c:v>6.2818189320790676</c:v>
                </c:pt>
                <c:pt idx="97">
                  <c:v>6.4227066980723251</c:v>
                </c:pt>
                <c:pt idx="98">
                  <c:v>6.5652439699208198</c:v>
                </c:pt>
                <c:pt idx="99">
                  <c:v>6.7094323412008148</c:v>
                </c:pt>
                <c:pt idx="100">
                  <c:v>6.8552733786947613</c:v>
                </c:pt>
                <c:pt idx="101">
                  <c:v>7.0027686227715105</c:v>
                </c:pt>
                <c:pt idx="102">
                  <c:v>7.1519195877555575</c:v>
                </c:pt>
                <c:pt idx="103">
                  <c:v>7.3027277622857545</c:v>
                </c:pt>
                <c:pt idx="104">
                  <c:v>7.4551946096639021</c:v>
                </c:pt>
                <c:pt idx="105">
                  <c:v>7.6093215681936046</c:v>
                </c:pt>
                <c:pt idx="106">
                  <c:v>7.7651100515097626</c:v>
                </c:pt>
                <c:pt idx="107">
                  <c:v>7.9225614488990574</c:v>
                </c:pt>
                <c:pt idx="108">
                  <c:v>8.0816771256117619</c:v>
                </c:pt>
                <c:pt idx="109">
                  <c:v>8.2424584231652034</c:v>
                </c:pt>
                <c:pt idx="110">
                  <c:v>8.404906659639181</c:v>
                </c:pt>
                <c:pt idx="111">
                  <c:v>8.5690231299636359</c:v>
                </c:pt>
                <c:pt idx="112">
                  <c:v>8.7348091061988509</c:v>
                </c:pt>
                <c:pt idx="113">
                  <c:v>8.9022658378084465</c:v>
                </c:pt>
                <c:pt idx="114">
                  <c:v>9.0713945519254366</c:v>
                </c:pt>
                <c:pt idx="115">
                  <c:v>9.2421964536115748</c:v>
                </c:pt>
                <c:pt idx="116">
                  <c:v>9.4146727261102434</c:v>
                </c:pt>
                <c:pt idx="117">
                  <c:v>9.5888245310930937</c:v>
                </c:pt>
                <c:pt idx="118">
                  <c:v>9.764653008900666</c:v>
                </c:pt>
                <c:pt idx="119">
                  <c:v>9.9421592787771793</c:v>
                </c:pt>
                <c:pt idx="120">
                  <c:v>10.121344439099703</c:v>
                </c:pt>
                <c:pt idx="121">
                  <c:v>10.302209567601894</c:v>
                </c:pt>
                <c:pt idx="122">
                  <c:v>10.484755721592471</c:v>
                </c:pt>
                <c:pt idx="123">
                  <c:v>10.668983938168624</c:v>
                </c:pt>
                <c:pt idx="124">
                  <c:v>10.854895234424502</c:v>
                </c:pt>
                <c:pt idx="125">
                  <c:v>11.042490607654941</c:v>
                </c:pt>
                <c:pt idx="126">
                  <c:v>11.23177103555461</c:v>
                </c:pt>
                <c:pt idx="127">
                  <c:v>11.422737476412694</c:v>
                </c:pt>
                <c:pt idx="128">
                  <c:v>11.615390869303271</c:v>
                </c:pt>
                <c:pt idx="129">
                  <c:v>11.809731805495845</c:v>
                </c:pt>
                <c:pt idx="130">
                  <c:v>12.005760198461957</c:v>
                </c:pt>
                <c:pt idx="131">
                  <c:v>12.203475610989555</c:v>
                </c:pt>
                <c:pt idx="132">
                  <c:v>12.402877583717872</c:v>
                </c:pt>
                <c:pt idx="133">
                  <c:v>12.603965635356587</c:v>
                </c:pt>
                <c:pt idx="134">
                  <c:v>12.806739262900573</c:v>
                </c:pt>
                <c:pt idx="135">
                  <c:v>13.011197941840342</c:v>
                </c:pt>
                <c:pt idx="136">
                  <c:v>13.21734112636836</c:v>
                </c:pt>
                <c:pt idx="137">
                  <c:v>13.425168249581322</c:v>
                </c:pt>
                <c:pt idx="138">
                  <c:v>13.634678723678535</c:v>
                </c:pt>
                <c:pt idx="139">
                  <c:v>13.845871940156524</c:v>
                </c:pt>
                <c:pt idx="140">
                  <c:v>14.058747269999975</c:v>
                </c:pt>
                <c:pt idx="141">
                  <c:v>14.273304063869125</c:v>
                </c:pt>
                <c:pt idx="142">
                  <c:v>14.489541652283705</c:v>
                </c:pt>
                <c:pt idx="143">
                  <c:v>14.707459345803553</c:v>
                </c:pt>
                <c:pt idx="144">
                  <c:v>14.927056435205962</c:v>
                </c:pt>
                <c:pt idx="145">
                  <c:v>15.148332191659907</c:v>
                </c:pt>
                <c:pt idx="146">
                  <c:v>15.371285866897196</c:v>
                </c:pt>
                <c:pt idx="147">
                  <c:v>15.595916693380667</c:v>
                </c:pt>
                <c:pt idx="148">
                  <c:v>15.822223884469503</c:v>
                </c:pt>
                <c:pt idx="149">
                  <c:v>16.050206634581748</c:v>
                </c:pt>
                <c:pt idx="150">
                  <c:v>16.279864119354102</c:v>
                </c:pt>
                <c:pt idx="151">
                  <c:v>16.51119549579909</c:v>
                </c:pt>
                <c:pt idx="152">
                  <c:v>16.744199902459645</c:v>
                </c:pt>
                <c:pt idx="153">
                  <c:v>16.97887645956121</c:v>
                </c:pt>
                <c:pt idx="154">
                  <c:v>17.215224269161418</c:v>
                </c:pt>
                <c:pt idx="155">
                  <c:v>17.453242415297396</c:v>
                </c:pt>
                <c:pt idx="156">
                  <c:v>17.692929964130805</c:v>
                </c:pt>
                <c:pt idx="157">
                  <c:v>17.93428596409062</c:v>
                </c:pt>
                <c:pt idx="158">
                  <c:v>18.177309446013762</c:v>
                </c:pt>
                <c:pt idx="159">
                  <c:v>18.421999423283612</c:v>
                </c:pt>
                <c:pt idx="160">
                  <c:v>18.668354891966462</c:v>
                </c:pt>
                <c:pt idx="161">
                  <c:v>18.91637483094598</c:v>
                </c:pt>
                <c:pt idx="162">
                  <c:v>19.166058202055726</c:v>
                </c:pt>
                <c:pt idx="163">
                  <c:v>19.41740395020976</c:v>
                </c:pt>
                <c:pt idx="164">
                  <c:v>19.670411003531424</c:v>
                </c:pt>
                <c:pt idx="165">
                  <c:v>19.925078273480302</c:v>
                </c:pt>
                <c:pt idx="166">
                  <c:v>20.18140465497746</c:v>
                </c:pt>
                <c:pt idx="167">
                  <c:v>20.439389026528946</c:v>
                </c:pt>
                <c:pt idx="168">
                  <c:v>20.699030250347651</c:v>
                </c:pt>
                <c:pt idx="169">
                  <c:v>20.960327172473544</c:v>
                </c:pt>
                <c:pt idx="170">
                  <c:v>21.223278622892327</c:v>
                </c:pt>
                <c:pt idx="171">
                  <c:v>21.487883415652536</c:v>
                </c:pt>
                <c:pt idx="172">
                  <c:v>21.754140348981181</c:v>
                </c:pt>
                <c:pt idx="173">
                  <c:v>22.022048205397869</c:v>
                </c:pt>
                <c:pt idx="174">
                  <c:v>22.291605751827539</c:v>
                </c:pt>
                <c:pt idx="175">
                  <c:v>22.56281173971179</c:v>
                </c:pt>
                <c:pt idx="176">
                  <c:v>22.83566490511885</c:v>
                </c:pt>
                <c:pt idx="177">
                  <c:v>23.11016396885222</c:v>
                </c:pt>
                <c:pt idx="178">
                  <c:v>23.38630763655803</c:v>
                </c:pt>
                <c:pt idx="179">
                  <c:v>23.66409459883112</c:v>
                </c:pt>
                <c:pt idx="180">
                  <c:v>23.943523531319904</c:v>
                </c:pt>
                <c:pt idx="181">
                  <c:v>24.224593094830013</c:v>
                </c:pt>
                <c:pt idx="182">
                  <c:v>24.507301935426781</c:v>
                </c:pt>
                <c:pt idx="183">
                  <c:v>24.791648684536568</c:v>
                </c:pt>
                <c:pt idx="184">
                  <c:v>25.077631959046979</c:v>
                </c:pt>
                <c:pt idx="185">
                  <c:v>25.36525036140597</c:v>
                </c:pt>
                <c:pt idx="186">
                  <c:v>25.654502479719895</c:v>
                </c:pt>
                <c:pt idx="187">
                  <c:v>25.945386887850511</c:v>
                </c:pt>
                <c:pt idx="188">
                  <c:v>26.237902145510947</c:v>
                </c:pt>
                <c:pt idx="189">
                  <c:v>26.532046798360703</c:v>
                </c:pt>
                <c:pt idx="190">
                  <c:v>26.827819378099633</c:v>
                </c:pt>
                <c:pt idx="191">
                  <c:v>27.125218402561018</c:v>
                </c:pt>
                <c:pt idx="192">
                  <c:v>27.424242375803665</c:v>
                </c:pt>
                <c:pt idx="193">
                  <c:v>27.724889788203136</c:v>
                </c:pt>
                <c:pt idx="194">
                  <c:v>28.027159116542045</c:v>
                </c:pt>
                <c:pt idx="195">
                  <c:v>28.331048824099511</c:v>
                </c:pt>
                <c:pt idx="196">
                  <c:v>28.63655736073974</c:v>
                </c:pt>
                <c:pt idx="197">
                  <c:v>28.943683162999793</c:v>
                </c:pt>
                <c:pt idx="198">
                  <c:v>29.252424654176508</c:v>
                </c:pt>
                <c:pt idx="199">
                  <c:v>29.562780244412647</c:v>
                </c:pt>
                <c:pt idx="200">
                  <c:v>29.874748330782246</c:v>
                </c:pt>
                <c:pt idx="201">
                  <c:v>30.188327297375213</c:v>
                </c:pt>
                <c:pt idx="202">
                  <c:v>30.50351551538116</c:v>
                </c:pt>
                <c:pt idx="203">
                  <c:v>30.820311343172502</c:v>
                </c:pt>
                <c:pt idx="204">
                  <c:v>31.138713126386854</c:v>
                </c:pt>
                <c:pt idx="205">
                  <c:v>31.458719198008705</c:v>
                </c:pt>
                <c:pt idx="206">
                  <c:v>31.780327793162098</c:v>
                </c:pt>
                <c:pt idx="207">
                  <c:v>32.103536963665519</c:v>
                </c:pt>
                <c:pt idx="208">
                  <c:v>32.428344663105868</c:v>
                </c:pt>
                <c:pt idx="209">
                  <c:v>32.7547488321526</c:v>
                </c:pt>
                <c:pt idx="210">
                  <c:v>33.082747398643463</c:v>
                </c:pt>
                <c:pt idx="211">
                  <c:v>33.412338277669548</c:v>
                </c:pt>
                <c:pt idx="212">
                  <c:v>33.743519371659673</c:v>
                </c:pt>
                <c:pt idx="213">
                  <c:v>34.076288570464087</c:v>
                </c:pt>
                <c:pt idx="214">
                  <c:v>34.410643751437568</c:v>
                </c:pt>
                <c:pt idx="215">
                  <c:v>34.746582779521873</c:v>
                </c:pt>
                <c:pt idx="216">
                  <c:v>35.084103507327541</c:v>
                </c:pt>
                <c:pt idx="217">
                  <c:v>35.423203775215143</c:v>
                </c:pt>
                <c:pt idx="218">
                  <c:v>35.763881411375877</c:v>
                </c:pt>
                <c:pt idx="219">
                  <c:v>36.106134231911604</c:v>
                </c:pt>
                <c:pt idx="220">
                  <c:v>36.449960040914334</c:v>
                </c:pt>
                <c:pt idx="221">
                  <c:v>36.795356630545086</c:v>
                </c:pt>
                <c:pt idx="222">
                  <c:v>37.142321781112251</c:v>
                </c:pt>
                <c:pt idx="223">
                  <c:v>37.490853261149383</c:v>
                </c:pt>
                <c:pt idx="224">
                  <c:v>37.840948827492447</c:v>
                </c:pt>
                <c:pt idx="225">
                  <c:v>38.192606225356563</c:v>
                </c:pt>
                <c:pt idx="226">
                  <c:v>38.545823188412236</c:v>
                </c:pt>
                <c:pt idx="227">
                  <c:v>38.900597438861034</c:v>
                </c:pt>
                <c:pt idx="228">
                  <c:v>39.256926687510827</c:v>
                </c:pt>
                <c:pt idx="229">
                  <c:v>39.614808633850494</c:v>
                </c:pt>
                <c:pt idx="230">
                  <c:v>39.974240966124164</c:v>
                </c:pt>
                <c:pt idx="231">
                  <c:v>40.335221361404983</c:v>
                </c:pt>
                <c:pt idx="232">
                  <c:v>40.697747485668408</c:v>
                </c:pt>
                <c:pt idx="233">
                  <c:v>41.061816993865051</c:v>
                </c:pt>
                <c:pt idx="234">
                  <c:v>41.427427529993054</c:v>
                </c:pt>
                <c:pt idx="235">
                  <c:v>41.794576727170046</c:v>
                </c:pt>
                <c:pt idx="236">
                  <c:v>42.163262207704641</c:v>
                </c:pt>
                <c:pt idx="237">
                  <c:v>42.533481583167521</c:v>
                </c:pt>
                <c:pt idx="238">
                  <c:v>42.905232454462087</c:v>
                </c:pt>
                <c:pt idx="239">
                  <c:v>43.278512411894688</c:v>
                </c:pt>
                <c:pt idx="240">
                  <c:v>43.653319035244451</c:v>
                </c:pt>
                <c:pt idx="241">
                  <c:v>44.029649893832712</c:v>
                </c:pt>
                <c:pt idx="242">
                  <c:v>44.407502245115431</c:v>
                </c:pt>
                <c:pt idx="243">
                  <c:v>44.786872732571624</c:v>
                </c:pt>
                <c:pt idx="244">
                  <c:v>45.167757686415143</c:v>
                </c:pt>
                <c:pt idx="245">
                  <c:v>45.550153425021421</c:v>
                </c:pt>
                <c:pt idx="246">
                  <c:v>45.934056255018298</c:v>
                </c:pt>
                <c:pt idx="247">
                  <c:v>46.31946247137634</c:v>
                </c:pt>
                <c:pt idx="248">
                  <c:v>46.706368357498611</c:v>
                </c:pt>
                <c:pt idx="249">
                  <c:v>47.094770185309933</c:v>
                </c:pt>
                <c:pt idx="250">
                  <c:v>47.484664215345617</c:v>
                </c:pt>
                <c:pt idx="251">
                  <c:v>47.876046696839708</c:v>
                </c:pt>
                <c:pt idx="252">
                  <c:v>48.268913867812721</c:v>
                </c:pt>
                <c:pt idx="253">
                  <c:v>48.663261955158859</c:v>
                </c:pt>
                <c:pt idx="254">
                  <c:v>49.059087174732781</c:v>
                </c:pt>
                <c:pt idx="255">
                  <c:v>49.456385731435844</c:v>
                </c:pt>
                <c:pt idx="256">
                  <c:v>49.855153819301911</c:v>
                </c:pt>
                <c:pt idx="257">
                  <c:v>50.255387621582642</c:v>
                </c:pt>
                <c:pt idx="258">
                  <c:v>50.657083310832341</c:v>
                </c:pt>
                <c:pt idx="259">
                  <c:v>51.060237048992356</c:v>
                </c:pt>
                <c:pt idx="260">
                  <c:v>51.464844987474983</c:v>
                </c:pt>
                <c:pt idx="261">
                  <c:v>51.870903267246938</c:v>
                </c:pt>
                <c:pt idx="262">
                  <c:v>52.278408018912387</c:v>
                </c:pt>
                <c:pt idx="263">
                  <c:v>52.687355362795529</c:v>
                </c:pt>
                <c:pt idx="264">
                  <c:v>53.097741409022738</c:v>
                </c:pt>
                <c:pt idx="265">
                  <c:v>53.509562257604266</c:v>
                </c:pt>
                <c:pt idx="266">
                  <c:v>53.922813998515515</c:v>
                </c:pt>
                <c:pt idx="267">
                  <c:v>54.337492711777898</c:v>
                </c:pt>
                <c:pt idx="268">
                  <c:v>54.753594467539273</c:v>
                </c:pt>
                <c:pt idx="269">
                  <c:v>55.171115326153945</c:v>
                </c:pt>
                <c:pt idx="270">
                  <c:v>55.590051338262271</c:v>
                </c:pt>
                <c:pt idx="271">
                  <c:v>56.010398544869844</c:v>
                </c:pt>
                <c:pt idx="272">
                  <c:v>56.432152977426277</c:v>
                </c:pt>
                <c:pt idx="273">
                  <c:v>56.85531065790358</c:v>
                </c:pt>
                <c:pt idx="274">
                  <c:v>57.279867598874148</c:v>
                </c:pt>
                <c:pt idx="275">
                  <c:v>57.705819803588319</c:v>
                </c:pt>
                <c:pt idx="276">
                  <c:v>58.133163266051589</c:v>
                </c:pt>
                <c:pt idx="277">
                  <c:v>58.561893971101398</c:v>
                </c:pt>
                <c:pt idx="278">
                  <c:v>58.992007894483557</c:v>
                </c:pt>
                <c:pt idx="279">
                  <c:v>59.423501002928248</c:v>
                </c:pt>
                <c:pt idx="280">
                  <c:v>59.856369254225704</c:v>
                </c:pt>
                <c:pt idx="281">
                  <c:v>60.290608597301457</c:v>
                </c:pt>
                <c:pt idx="282">
                  <c:v>60.726214972291245</c:v>
                </c:pt>
                <c:pt idx="283">
                  <c:v>61.163184310615527</c:v>
                </c:pt>
                <c:pt idx="284">
                  <c:v>61.601512897142548</c:v>
                </c:pt>
                <c:pt idx="285">
                  <c:v>62.041197733029307</c:v>
                </c:pt>
                <c:pt idx="286">
                  <c:v>62.482236174447365</c:v>
                </c:pt>
                <c:pt idx="287">
                  <c:v>62.924625570618304</c:v>
                </c:pt>
                <c:pt idx="288">
                  <c:v>63.368363263863159</c:v>
                </c:pt>
                <c:pt idx="289">
                  <c:v>63.813446589651683</c:v>
                </c:pt>
                <c:pt idx="290">
                  <c:v>64.259872876651329</c:v>
                </c:pt>
                <c:pt idx="291">
                  <c:v>64.707639446776113</c:v>
                </c:pt>
                <c:pt idx="292">
                  <c:v>65.156743615235186</c:v>
                </c:pt>
                <c:pt idx="293">
                  <c:v>65.607182690581311</c:v>
                </c:pt>
                <c:pt idx="294">
                  <c:v>66.058953974759063</c:v>
                </c:pt>
                <c:pt idx="295">
                  <c:v>66.512054763152832</c:v>
                </c:pt>
                <c:pt idx="296">
                  <c:v>66.96648234463467</c:v>
                </c:pt>
                <c:pt idx="297">
                  <c:v>67.422234001611955</c:v>
                </c:pt>
                <c:pt idx="298">
                  <c:v>67.879307010074768</c:v>
                </c:pt>
                <c:pt idx="299">
                  <c:v>68.337698639643222</c:v>
                </c:pt>
                <c:pt idx="300">
                  <c:v>68.797406153614432</c:v>
                </c:pt>
                <c:pt idx="301">
                  <c:v>69.25842680900945</c:v>
                </c:pt>
                <c:pt idx="302">
                  <c:v>69.720757856619898</c:v>
                </c:pt>
                <c:pt idx="303">
                  <c:v>70.184396541054483</c:v>
                </c:pt>
                <c:pt idx="304">
                  <c:v>70.649340100785295</c:v>
                </c:pt>
                <c:pt idx="305">
                  <c:v>71.11558576819391</c:v>
                </c:pt>
                <c:pt idx="306">
                  <c:v>71.583130769617327</c:v>
                </c:pt>
                <c:pt idx="307">
                  <c:v>72.051972325393706</c:v>
                </c:pt>
                <c:pt idx="308">
                  <c:v>72.522107649907937</c:v>
                </c:pt>
                <c:pt idx="309">
                  <c:v>72.993533951637019</c:v>
                </c:pt>
                <c:pt idx="310">
                  <c:v>73.466248433195261</c:v>
                </c:pt>
                <c:pt idx="311">
                  <c:v>73.940248291379291</c:v>
                </c:pt>
                <c:pt idx="312">
                  <c:v>74.415530717212903</c:v>
                </c:pt>
                <c:pt idx="313">
                  <c:v>74.892092895991695</c:v>
                </c:pt>
                <c:pt idx="314">
                  <c:v>75.369932007327563</c:v>
                </c:pt>
                <c:pt idx="315">
                  <c:v>75.849045225193009</c:v>
                </c:pt>
                <c:pt idx="316">
                  <c:v>76.329429717965255</c:v>
                </c:pt>
                <c:pt idx="317">
                  <c:v>76.811082648470162</c:v>
                </c:pt>
                <c:pt idx="318">
                  <c:v>77.294001174026079</c:v>
                </c:pt>
                <c:pt idx="319">
                  <c:v>77.778182446487349</c:v>
                </c:pt>
                <c:pt idx="320">
                  <c:v>78.263623612287816</c:v>
                </c:pt>
                <c:pt idx="321">
                  <c:v>78.750321812484017</c:v>
                </c:pt>
                <c:pt idx="322">
                  <c:v>79.238274182798293</c:v>
                </c:pt>
                <c:pt idx="323">
                  <c:v>79.727477853661654</c:v>
                </c:pt>
                <c:pt idx="324">
                  <c:v>80.217929950256575</c:v>
                </c:pt>
                <c:pt idx="325">
                  <c:v>80.709627592559499</c:v>
                </c:pt>
                <c:pt idx="326">
                  <c:v>81.202567918081954</c:v>
                </c:pt>
                <c:pt idx="327">
                  <c:v>81.696748104646375</c:v>
                </c:pt>
                <c:pt idx="328">
                  <c:v>82.192165347764018</c:v>
                </c:pt>
                <c:pt idx="329">
                  <c:v>82.688816837977029</c:v>
                </c:pt>
                <c:pt idx="330">
                  <c:v>83.186699760899032</c:v>
                </c:pt>
                <c:pt idx="331">
                  <c:v>83.685811297255484</c:v>
                </c:pt>
                <c:pt idx="332">
                  <c:v>84.186148622923866</c:v>
                </c:pt>
                <c:pt idx="333">
                  <c:v>84.687708908973761</c:v>
                </c:pt>
                <c:pt idx="334">
                  <c:v>85.190489321706721</c:v>
                </c:pt>
                <c:pt idx="335">
                  <c:v>85.694487022696038</c:v>
                </c:pt>
                <c:pt idx="336">
                  <c:v>86.199699168826285</c:v>
                </c:pt>
                <c:pt idx="337">
                  <c:v>86.706122912332759</c:v>
                </c:pt>
                <c:pt idx="338">
                  <c:v>87.213755400840697</c:v>
                </c:pt>
                <c:pt idx="339">
                  <c:v>87.722593777404441</c:v>
                </c:pt>
                <c:pt idx="340">
                  <c:v>88.232635180546353</c:v>
                </c:pt>
                <c:pt idx="341">
                  <c:v>88.743876744295619</c:v>
                </c:pt>
                <c:pt idx="342">
                  <c:v>89.256315598226848</c:v>
                </c:pt>
                <c:pt idx="343">
                  <c:v>89.769948867498599</c:v>
                </c:pt>
                <c:pt idx="344">
                  <c:v>90.284773672891689</c:v>
                </c:pt>
                <c:pt idx="345">
                  <c:v>90.800787130847368</c:v>
                </c:pt>
                <c:pt idx="346">
                  <c:v>91.317986353505319</c:v>
                </c:pt>
                <c:pt idx="347">
                  <c:v>91.836368448741538</c:v>
                </c:pt>
                <c:pt idx="348">
                  <c:v>92.355930520206044</c:v>
                </c:pt>
                <c:pt idx="349">
                  <c:v>92.876669667360403</c:v>
                </c:pt>
                <c:pt idx="350">
                  <c:v>93.398582985515191</c:v>
                </c:pt>
                <c:pt idx="351">
                  <c:v>93.921667565867182</c:v>
                </c:pt>
                <c:pt idx="352">
                  <c:v>94.445920495536498</c:v>
                </c:pt>
                <c:pt idx="353">
                  <c:v>94.971338857603499</c:v>
                </c:pt>
                <c:pt idx="354">
                  <c:v>95.497919731145629</c:v>
                </c:pt>
                <c:pt idx="355">
                  <c:v>96.025660191274028</c:v>
                </c:pt>
                <c:pt idx="356">
                  <c:v>96.554557309170036</c:v>
                </c:pt>
                <c:pt idx="357">
                  <c:v>97.084608152121518</c:v>
                </c:pt>
                <c:pt idx="358">
                  <c:v>97.615809783559058</c:v>
                </c:pt>
                <c:pt idx="359">
                  <c:v>98.148159263092026</c:v>
                </c:pt>
                <c:pt idx="360">
                  <c:v>98.681653646544419</c:v>
                </c:pt>
                <c:pt idx="361">
                  <c:v>99.216289985990628</c:v>
                </c:pt>
                <c:pt idx="362">
                  <c:v>99.752065329791037</c:v>
                </c:pt>
                <c:pt idx="363">
                  <c:v>100.28897672262744</c:v>
                </c:pt>
                <c:pt idx="364">
                  <c:v>100.82702120553832</c:v>
                </c:pt>
                <c:pt idx="365">
                  <c:v>101.36619581595401</c:v>
                </c:pt>
                <c:pt idx="366">
                  <c:v>101.90649817339263</c:v>
                </c:pt>
                <c:pt idx="367">
                  <c:v>102.44792706590039</c:v>
                </c:pt>
                <c:pt idx="368">
                  <c:v>102.99048186506408</c:v>
                </c:pt>
                <c:pt idx="369">
                  <c:v>103.53416194026718</c:v>
                </c:pt>
                <c:pt idx="370">
                  <c:v>104.07896665870106</c:v>
                </c:pt>
                <c:pt idx="371">
                  <c:v>104.62489538537619</c:v>
                </c:pt>
                <c:pt idx="372">
                  <c:v>105.17194748313337</c:v>
                </c:pt>
                <c:pt idx="373">
                  <c:v>105.72012231265482</c:v>
                </c:pt>
                <c:pt idx="374">
                  <c:v>106.26941923247541</c:v>
                </c:pt>
                <c:pt idx="375">
                  <c:v>106.81983759899377</c:v>
                </c:pt>
                <c:pt idx="376">
                  <c:v>107.37137676648335</c:v>
                </c:pt>
                <c:pt idx="377">
                  <c:v>107.92403608710359</c:v>
                </c:pt>
                <c:pt idx="378">
                  <c:v>108.47781491091089</c:v>
                </c:pt>
                <c:pt idx="379">
                  <c:v>109.03271258586979</c:v>
                </c:pt>
                <c:pt idx="380">
                  <c:v>109.58872845786387</c:v>
                </c:pt>
                <c:pt idx="381">
                  <c:v>110.14586123461218</c:v>
                </c:pt>
                <c:pt idx="382">
                  <c:v>110.70410834881766</c:v>
                </c:pt>
                <c:pt idx="383">
                  <c:v>111.26346659364705</c:v>
                </c:pt>
                <c:pt idx="384">
                  <c:v>111.82393275899133</c:v>
                </c:pt>
                <c:pt idx="385">
                  <c:v>112.38550363150136</c:v>
                </c:pt>
                <c:pt idx="386">
                  <c:v>112.94817599462338</c:v>
                </c:pt>
                <c:pt idx="387">
                  <c:v>113.51194662863435</c:v>
                </c:pt>
                <c:pt idx="388">
                  <c:v>114.07681231067714</c:v>
                </c:pt>
                <c:pt idx="389">
                  <c:v>114.64276981479559</c:v>
                </c:pt>
                <c:pt idx="390">
                  <c:v>115.20981591196929</c:v>
                </c:pt>
                <c:pt idx="391">
                  <c:v>115.77794737014838</c:v>
                </c:pt>
                <c:pt idx="392">
                  <c:v>116.34716095428804</c:v>
                </c:pt>
                <c:pt idx="393">
                  <c:v>116.91745342638288</c:v>
                </c:pt>
                <c:pt idx="394">
                  <c:v>117.48882154550112</c:v>
                </c:pt>
                <c:pt idx="395">
                  <c:v>118.06126206781876</c:v>
                </c:pt>
                <c:pt idx="396">
                  <c:v>118.63477174665339</c:v>
                </c:pt>
                <c:pt idx="397">
                  <c:v>119.20934733249796</c:v>
                </c:pt>
                <c:pt idx="398">
                  <c:v>119.78498557305437</c:v>
                </c:pt>
                <c:pt idx="399">
                  <c:v>120.36168321326691</c:v>
                </c:pt>
                <c:pt idx="400">
                  <c:v>120.93943699535552</c:v>
                </c:pt>
                <c:pt idx="401">
                  <c:v>121.51824315551133</c:v>
                </c:pt>
                <c:pt idx="402">
                  <c:v>122.09809692004792</c:v>
                </c:pt>
                <c:pt idx="403">
                  <c:v>122.67899300838069</c:v>
                </c:pt>
                <c:pt idx="404">
                  <c:v>123.26092613656185</c:v>
                </c:pt>
                <c:pt idx="405">
                  <c:v>123.84389101733657</c:v>
                </c:pt>
                <c:pt idx="406">
                  <c:v>124.42788236019858</c:v>
                </c:pt>
                <c:pt idx="407">
                  <c:v>125.01289487144558</c:v>
                </c:pt>
                <c:pt idx="408">
                  <c:v>125.59892325423424</c:v>
                </c:pt>
                <c:pt idx="409">
                  <c:v>126.18596220863483</c:v>
                </c:pt>
                <c:pt idx="410">
                  <c:v>126.77400643168561</c:v>
                </c:pt>
                <c:pt idx="411">
                  <c:v>127.36304782842613</c:v>
                </c:pt>
                <c:pt idx="412">
                  <c:v>127.9530727201568</c:v>
                </c:pt>
                <c:pt idx="413">
                  <c:v>128.54406463175678</c:v>
                </c:pt>
                <c:pt idx="414">
                  <c:v>129.13600708188241</c:v>
                </c:pt>
                <c:pt idx="415">
                  <c:v>129.72888358323289</c:v>
                </c:pt>
                <c:pt idx="416">
                  <c:v>130.32267764281343</c:v>
                </c:pt>
                <c:pt idx="417">
                  <c:v>130.91737276219595</c:v>
                </c:pt>
                <c:pt idx="418">
                  <c:v>131.51295243777696</c:v>
                </c:pt>
                <c:pt idx="419">
                  <c:v>132.10940016103294</c:v>
                </c:pt>
                <c:pt idx="420">
                  <c:v>132.70669782827994</c:v>
                </c:pt>
                <c:pt idx="421">
                  <c:v>133.30482414910654</c:v>
                </c:pt>
                <c:pt idx="422">
                  <c:v>133.90375623652938</c:v>
                </c:pt>
                <c:pt idx="423">
                  <c:v>134.5034711985605</c:v>
                </c:pt>
                <c:pt idx="424">
                  <c:v>135.10394613862985</c:v>
                </c:pt>
                <c:pt idx="425">
                  <c:v>135.70515815600274</c:v>
                </c:pt>
                <c:pt idx="426">
                  <c:v>136.30708434619265</c:v>
                </c:pt>
                <c:pt idx="427">
                  <c:v>136.90970180136915</c:v>
                </c:pt>
                <c:pt idx="428">
                  <c:v>137.51298761076086</c:v>
                </c:pt>
                <c:pt idx="429">
                  <c:v>138.11691886105365</c:v>
                </c:pt>
                <c:pt idx="430">
                  <c:v>138.721472636784</c:v>
                </c:pt>
                <c:pt idx="431">
                  <c:v>139.32662602072747</c:v>
                </c:pt>
                <c:pt idx="432">
                  <c:v>139.93235352262198</c:v>
                </c:pt>
                <c:pt idx="433">
                  <c:v>140.53862450641989</c:v>
                </c:pt>
                <c:pt idx="434">
                  <c:v>141.14540576242595</c:v>
                </c:pt>
                <c:pt idx="435">
                  <c:v>141.752664081082</c:v>
                </c:pt>
                <c:pt idx="436">
                  <c:v>142.36036625369863</c:v>
                </c:pt>
                <c:pt idx="437">
                  <c:v>142.96847907317681</c:v>
                </c:pt>
                <c:pt idx="438">
                  <c:v>143.57696933471934</c:v>
                </c:pt>
                <c:pt idx="439">
                  <c:v>144.18580383653207</c:v>
                </c:pt>
                <c:pt idx="440">
                  <c:v>144.79494938051516</c:v>
                </c:pt>
                <c:pt idx="441">
                  <c:v>145.40437277294401</c:v>
                </c:pt>
                <c:pt idx="442">
                  <c:v>146.01404239170034</c:v>
                </c:pt>
                <c:pt idx="443">
                  <c:v>146.62392975394602</c:v>
                </c:pt>
                <c:pt idx="444">
                  <c:v>147.23400794948964</c:v>
                </c:pt>
                <c:pt idx="445">
                  <c:v>147.84425007357973</c:v>
                </c:pt>
                <c:pt idx="446">
                  <c:v>148.45462922731525</c:v>
                </c:pt>
                <c:pt idx="447">
                  <c:v>149.06511851804959</c:v>
                </c:pt>
                <c:pt idx="448">
                  <c:v>149.67569105978777</c:v>
                </c:pt>
                <c:pt idx="449">
                  <c:v>150.28631997357698</c:v>
                </c:pt>
                <c:pt idx="450">
                  <c:v>150.89697838789027</c:v>
                </c:pt>
                <c:pt idx="451">
                  <c:v>151.50763943900367</c:v>
                </c:pt>
                <c:pt idx="452">
                  <c:v>152.11827627136648</c:v>
                </c:pt>
                <c:pt idx="453">
                  <c:v>152.7288642892168</c:v>
                </c:pt>
                <c:pt idx="454">
                  <c:v>153.33938340834453</c:v>
                </c:pt>
                <c:pt idx="455">
                  <c:v>153.9498158034491</c:v>
                </c:pt>
                <c:pt idx="456">
                  <c:v>154.56014365523157</c:v>
                </c:pt>
                <c:pt idx="457">
                  <c:v>155.17034915052338</c:v>
                </c:pt>
                <c:pt idx="458">
                  <c:v>155.78041448241234</c:v>
                </c:pt>
                <c:pt idx="459">
                  <c:v>156.39032185036567</c:v>
                </c:pt>
                <c:pt idx="460">
                  <c:v>157.00005346034999</c:v>
                </c:pt>
                <c:pt idx="461">
                  <c:v>157.60959355649703</c:v>
                </c:pt>
                <c:pt idx="462">
                  <c:v>158.21893045272444</c:v>
                </c:pt>
                <c:pt idx="463">
                  <c:v>158.8280544994972</c:v>
                </c:pt>
                <c:pt idx="464">
                  <c:v>159.43695605058062</c:v>
                </c:pt>
                <c:pt idx="465">
                  <c:v>160.04562546305172</c:v>
                </c:pt>
                <c:pt idx="466">
                  <c:v>160.65405138758251</c:v>
                </c:pt>
                <c:pt idx="467">
                  <c:v>161.26221905880797</c:v>
                </c:pt>
                <c:pt idx="468">
                  <c:v>161.87009295269164</c:v>
                </c:pt>
                <c:pt idx="469">
                  <c:v>162.47762277223023</c:v>
                </c:pt>
                <c:pt idx="470">
                  <c:v>163.08478584403301</c:v>
                </c:pt>
                <c:pt idx="471">
                  <c:v>163.69158283972735</c:v>
                </c:pt>
                <c:pt idx="472">
                  <c:v>164.29801442921709</c:v>
                </c:pt>
                <c:pt idx="473">
                  <c:v>164.90408128068867</c:v>
                </c:pt>
                <c:pt idx="474">
                  <c:v>165.50978406061708</c:v>
                </c:pt>
                <c:pt idx="475">
                  <c:v>166.11512343377197</c:v>
                </c:pt>
                <c:pt idx="476">
                  <c:v>166.72010006322361</c:v>
                </c:pt>
                <c:pt idx="477">
                  <c:v>167.32471461034896</c:v>
                </c:pt>
                <c:pt idx="478">
                  <c:v>167.92896773483747</c:v>
                </c:pt>
                <c:pt idx="479">
                  <c:v>168.53286009469716</c:v>
                </c:pt>
                <c:pt idx="480">
                  <c:v>169.13639234626038</c:v>
                </c:pt>
                <c:pt idx="481">
                  <c:v>169.73956514418984</c:v>
                </c:pt>
                <c:pt idx="482">
                  <c:v>170.34237914148432</c:v>
                </c:pt>
                <c:pt idx="483">
                  <c:v>170.94483498948455</c:v>
                </c:pt>
                <c:pt idx="484">
                  <c:v>171.54693333787901</c:v>
                </c:pt>
                <c:pt idx="485">
                  <c:v>172.14867483470971</c:v>
                </c:pt>
                <c:pt idx="486">
                  <c:v>172.75006012637792</c:v>
                </c:pt>
                <c:pt idx="487">
                  <c:v>173.35108985764987</c:v>
                </c:pt>
                <c:pt idx="488">
                  <c:v>173.95176467166246</c:v>
                </c:pt>
                <c:pt idx="489">
                  <c:v>174.55208520992898</c:v>
                </c:pt>
                <c:pt idx="490">
                  <c:v>175.15205211234468</c:v>
                </c:pt>
                <c:pt idx="491">
                  <c:v>175.75166601719243</c:v>
                </c:pt>
                <c:pt idx="492">
                  <c:v>176.35092756114835</c:v>
                </c:pt>
                <c:pt idx="493">
                  <c:v>176.94983737928732</c:v>
                </c:pt>
                <c:pt idx="494">
                  <c:v>177.5483961050885</c:v>
                </c:pt>
                <c:pt idx="495">
                  <c:v>178.146604370441</c:v>
                </c:pt>
                <c:pt idx="496">
                  <c:v>178.74446280564922</c:v>
                </c:pt>
                <c:pt idx="497">
                  <c:v>179.34197203943842</c:v>
                </c:pt>
                <c:pt idx="498">
                  <c:v>179.93913269896015</c:v>
                </c:pt>
                <c:pt idx="499">
                  <c:v>180.53594540979768</c:v>
                </c:pt>
                <c:pt idx="500">
                  <c:v>181.13241079597137</c:v>
                </c:pt>
                <c:pt idx="501">
                  <c:v>187.07801002457887</c:v>
                </c:pt>
                <c:pt idx="502">
                  <c:v>192.9892785132819</c:v>
                </c:pt>
                <c:pt idx="503">
                  <c:v>198.86682546491835</c:v>
                </c:pt>
                <c:pt idx="504">
                  <c:v>204.71124516019424</c:v>
                </c:pt>
                <c:pt idx="505">
                  <c:v>210.52311745864375</c:v>
                </c:pt>
                <c:pt idx="506">
                  <c:v>216.30300827860449</c:v>
                </c:pt>
                <c:pt idx="507">
                  <c:v>222.05147005726116</c:v>
                </c:pt>
                <c:pt idx="508">
                  <c:v>227.76904219174972</c:v>
                </c:pt>
                <c:pt idx="509">
                  <c:v>233.45625146225657</c:v>
                </c:pt>
                <c:pt idx="510">
                  <c:v>239.1136124379934</c:v>
                </c:pt>
                <c:pt idx="511">
                  <c:v>244.74162786687828</c:v>
                </c:pt>
                <c:pt idx="512">
                  <c:v>250.3407890497071</c:v>
                </c:pt>
                <c:pt idx="513">
                  <c:v>255.91157619955493</c:v>
                </c:pt>
                <c:pt idx="514">
                  <c:v>261.45445878710615</c:v>
                </c:pt>
                <c:pt idx="515">
                  <c:v>266.96989587257377</c:v>
                </c:pt>
                <c:pt idx="516">
                  <c:v>272.45833642483177</c:v>
                </c:pt>
                <c:pt idx="517">
                  <c:v>277.92021962835128</c:v>
                </c:pt>
                <c:pt idx="518">
                  <c:v>283.35597517849902</c:v>
                </c:pt>
                <c:pt idx="519">
                  <c:v>288.76602356572636</c:v>
                </c:pt>
                <c:pt idx="520">
                  <c:v>294.15077634915065</c:v>
                </c:pt>
                <c:pt idx="521">
                  <c:v>299.51063642000224</c:v>
                </c:pt>
                <c:pt idx="522">
                  <c:v>304.845998255388</c:v>
                </c:pt>
                <c:pt idx="523">
                  <c:v>310.15724816279663</c:v>
                </c:pt>
                <c:pt idx="524">
                  <c:v>315.44476451575144</c:v>
                </c:pt>
                <c:pt idx="525">
                  <c:v>320.70891798099342</c:v>
                </c:pt>
                <c:pt idx="526">
                  <c:v>325.95007173755982</c:v>
                </c:pt>
                <c:pt idx="527">
                  <c:v>331.16858168810421</c:v>
                </c:pt>
                <c:pt idx="528">
                  <c:v>336.3647966627866</c:v>
                </c:pt>
                <c:pt idx="529">
                  <c:v>341.53905861604665</c:v>
                </c:pt>
                <c:pt idx="530">
                  <c:v>346.6917028165567</c:v>
                </c:pt>
                <c:pt idx="531">
                  <c:v>351.8230580306377</c:v>
                </c:pt>
                <c:pt idx="532">
                  <c:v>356.933446699407</c:v>
                </c:pt>
                <c:pt idx="533">
                  <c:v>362.02318510991353</c:v>
                </c:pt>
                <c:pt idx="534">
                  <c:v>367.09258356050498</c:v>
                </c:pt>
                <c:pt idx="535">
                  <c:v>372.14194652065817</c:v>
                </c:pt>
                <c:pt idx="536">
                  <c:v>377.17157278549479</c:v>
                </c:pt>
                <c:pt idx="537">
                  <c:v>382.18175562519252</c:v>
                </c:pt>
                <c:pt idx="538">
                  <c:v>387.17278292949328</c:v>
                </c:pt>
                <c:pt idx="539">
                  <c:v>392.14493734749954</c:v>
                </c:pt>
                <c:pt idx="540">
                  <c:v>397.09849642294228</c:v>
                </c:pt>
                <c:pt idx="541">
                  <c:v>402.03373272509481</c:v>
                </c:pt>
                <c:pt idx="542">
                  <c:v>406.95091397549885</c:v>
                </c:pt>
                <c:pt idx="543">
                  <c:v>411.8503031706623</c:v>
                </c:pt>
                <c:pt idx="544">
                  <c:v>416.73215870088018</c:v>
                </c:pt>
                <c:pt idx="545">
                  <c:v>421.59673446532446</c:v>
                </c:pt>
                <c:pt idx="546">
                  <c:v>426.44427998354087</c:v>
                </c:pt>
                <c:pt idx="547">
                  <c:v>431.27504050348551</c:v>
                </c:pt>
                <c:pt idx="548">
                  <c:v>436.0892571062281</c:v>
                </c:pt>
                <c:pt idx="549">
                  <c:v>440.88716680744278</c:v>
                </c:pt>
                <c:pt idx="550">
                  <c:v>445.66900265580273</c:v>
                </c:pt>
                <c:pt idx="551">
                  <c:v>450.43499382838928</c:v>
                </c:pt>
                <c:pt idx="552">
                  <c:v>455.18536572322159</c:v>
                </c:pt>
                <c:pt idx="553">
                  <c:v>459.92034004900898</c:v>
                </c:pt>
                <c:pt idx="554">
                  <c:v>464.64013491222244</c:v>
                </c:pt>
                <c:pt idx="555">
                  <c:v>469.34496490157915</c:v>
                </c:pt>
                <c:pt idx="556">
                  <c:v>474.03504117002876</c:v>
                </c:pt>
                <c:pt idx="557">
                  <c:v>478.71057151432706</c:v>
                </c:pt>
                <c:pt idx="558">
                  <c:v>483.37176045227881</c:v>
                </c:pt>
                <c:pt idx="559">
                  <c:v>488.01880929772818</c:v>
                </c:pt>
                <c:pt idx="560">
                  <c:v>492.65191623337216</c:v>
                </c:pt>
                <c:pt idx="561">
                  <c:v>497.27127638146851</c:v>
                </c:pt>
                <c:pt idx="562">
                  <c:v>501.87708187250774</c:v>
                </c:pt>
                <c:pt idx="563">
                  <c:v>506.46952191191519</c:v>
                </c:pt>
                <c:pt idx="564">
                  <c:v>511.04878284484647</c:v>
                </c:pt>
                <c:pt idx="565">
                  <c:v>515.61504821913729</c:v>
                </c:pt>
                <c:pt idx="566">
                  <c:v>520.16849884646615</c:v>
                </c:pt>
                <c:pt idx="567">
                  <c:v>524.70931286178529</c:v>
                </c:pt>
                <c:pt idx="568">
                  <c:v>529.23766578107393</c:v>
                </c:pt>
                <c:pt idx="569">
                  <c:v>533.75373055746536</c:v>
                </c:pt>
                <c:pt idx="570">
                  <c:v>538.25767763579654</c:v>
                </c:pt>
                <c:pt idx="571">
                  <c:v>542.74967500562821</c:v>
                </c:pt>
                <c:pt idx="572">
                  <c:v>547.22988825278014</c:v>
                </c:pt>
                <c:pt idx="573">
                  <c:v>551.69848060942525</c:v>
                </c:pt>
                <c:pt idx="574">
                  <c:v>556.15561300278398</c:v>
                </c:pt>
                <c:pt idx="575">
                  <c:v>560.60144410245937</c:v>
                </c:pt>
                <c:pt idx="576">
                  <c:v>565.03613036644981</c:v>
                </c:pt>
                <c:pt idx="577">
                  <c:v>569.45982608587735</c:v>
                </c:pt>
                <c:pt idx="578">
                  <c:v>573.87268342846494</c:v>
                </c:pt>
                <c:pt idx="579">
                  <c:v>578.27485248079824</c:v>
                </c:pt>
                <c:pt idx="580">
                  <c:v>582.66648128940119</c:v>
                </c:pt>
                <c:pt idx="581">
                  <c:v>587.04771590065855</c:v>
                </c:pt>
                <c:pt idx="582">
                  <c:v>591.41870039961282</c:v>
                </c:pt>
                <c:pt idx="583">
                  <c:v>595.77957694766394</c:v>
                </c:pt>
                <c:pt idx="584">
                  <c:v>600.13048581919827</c:v>
                </c:pt>
                <c:pt idx="585">
                  <c:v>604.47156543717256</c:v>
                </c:pt>
                <c:pt idx="586">
                  <c:v>608.80295240767589</c:v>
                </c:pt>
                <c:pt idx="587">
                  <c:v>613.12478155349356</c:v>
                </c:pt>
                <c:pt idx="588">
                  <c:v>617.43718594669383</c:v>
                </c:pt>
                <c:pt idx="589">
                  <c:v>621.74029694025853</c:v>
                </c:pt>
                <c:pt idx="590">
                  <c:v>626.03424419877661</c:v>
                </c:pt>
                <c:pt idx="591">
                  <c:v>630.31915572821867</c:v>
                </c:pt>
                <c:pt idx="592">
                  <c:v>634.59515790481078</c:v>
                </c:pt>
                <c:pt idx="593">
                  <c:v>638.86237550302246</c:v>
                </c:pt>
                <c:pt idx="594">
                  <c:v>643.12093172268465</c:v>
                </c:pt>
                <c:pt idx="595">
                  <c:v>647.37094821525181</c:v>
                </c:pt>
                <c:pt idx="596">
                  <c:v>651.61254510922072</c:v>
                </c:pt>
                <c:pt idx="597">
                  <c:v>655.84584103471821</c:v>
                </c:pt>
                <c:pt idx="598">
                  <c:v>660.07095314726939</c:v>
                </c:pt>
                <c:pt idx="599">
                  <c:v>664.28799715075547</c:v>
                </c:pt>
                <c:pt idx="600">
                  <c:v>668.49708731957105</c:v>
                </c:pt>
                <c:pt idx="601">
                  <c:v>672.69833651998863</c:v>
                </c:pt>
                <c:pt idx="602">
                  <c:v>676.89185623073672</c:v>
                </c:pt>
                <c:pt idx="603">
                  <c:v>681.07775656279921</c:v>
                </c:pt>
                <c:pt idx="604">
                  <c:v>685.25614627843959</c:v>
                </c:pt>
                <c:pt idx="605">
                  <c:v>689.42713280945463</c:v>
                </c:pt>
                <c:pt idx="606">
                  <c:v>693.59082227466081</c:v>
                </c:pt>
                <c:pt idx="607">
                  <c:v>697.74731949661521</c:v>
                </c:pt>
                <c:pt idx="608">
                  <c:v>701.89672801757229</c:v>
                </c:pt>
                <c:pt idx="609">
                  <c:v>706.03915011467609</c:v>
                </c:pt>
                <c:pt idx="610">
                  <c:v>710.17468681438788</c:v>
                </c:pt>
                <c:pt idx="611">
                  <c:v>714.30343790614563</c:v>
                </c:pt>
                <c:pt idx="612">
                  <c:v>718.42550195525371</c:v>
                </c:pt>
                <c:pt idx="613">
                  <c:v>722.54097631499815</c:v>
                </c:pt>
                <c:pt idx="614">
                  <c:v>726.64995713798191</c:v>
                </c:pt>
                <c:pt idx="615">
                  <c:v>730.75253938667493</c:v>
                </c:pt>
                <c:pt idx="616">
                  <c:v>734.84881684316986</c:v>
                </c:pt>
                <c:pt idx="617">
                  <c:v>738.93888211813749</c:v>
                </c:pt>
                <c:pt idx="618">
                  <c:v>743.02282665896962</c:v>
                </c:pt>
                <c:pt idx="619">
                  <c:v>747.10074075710156</c:v>
                </c:pt>
                <c:pt idx="620">
                  <c:v>751.17271355450021</c:v>
                </c:pt>
                <c:pt idx="621">
                  <c:v>755.23883304930632</c:v>
                </c:pt>
                <c:pt idx="622">
                  <c:v>759.29918610061679</c:v>
                </c:pt>
                <c:pt idx="623">
                  <c:v>763.35385843239226</c:v>
                </c:pt>
                <c:pt idx="624">
                  <c:v>767.40293463647379</c:v>
                </c:pt>
                <c:pt idx="625">
                  <c:v>771.44649817469224</c:v>
                </c:pt>
                <c:pt idx="626">
                  <c:v>775.48463138005206</c:v>
                </c:pt>
                <c:pt idx="627">
                  <c:v>779.51741545697121</c:v>
                </c:pt>
                <c:pt idx="628">
                  <c:v>783.54493048055804</c:v>
                </c:pt>
                <c:pt idx="629">
                  <c:v>787.56725539490424</c:v>
                </c:pt>
                <c:pt idx="630">
                  <c:v>791.58446801037348</c:v>
                </c:pt>
                <c:pt idx="631">
                  <c:v>795.59664499986479</c:v>
                </c:pt>
                <c:pt idx="632">
                  <c:v>799.60386189402902</c:v>
                </c:pt>
                <c:pt idx="633">
                  <c:v>803.60619307541617</c:v>
                </c:pt>
                <c:pt idx="634">
                  <c:v>807.60371177153286</c:v>
                </c:pt>
                <c:pt idx="635">
                  <c:v>811.59649004678829</c:v>
                </c:pt>
                <c:pt idx="636">
                  <c:v>815.5845987933078</c:v>
                </c:pt>
                <c:pt idx="637">
                  <c:v>819.56810772059521</c:v>
                </c:pt>
                <c:pt idx="638">
                  <c:v>823.54708534402437</c:v>
                </c:pt>
                <c:pt idx="639">
                  <c:v>827.52159897214381</c:v>
                </c:pt>
                <c:pt idx="640">
                  <c:v>831.49171469278053</c:v>
                </c:pt>
                <c:pt idx="641">
                  <c:v>835.45749735793027</c:v>
                </c:pt>
                <c:pt idx="642">
                  <c:v>839.4190105674262</c:v>
                </c:pt>
                <c:pt idx="643">
                  <c:v>843.37631665138144</c:v>
                </c:pt>
                <c:pt idx="644">
                  <c:v>847.329476651405</c:v>
                </c:pt>
                <c:pt idx="645">
                  <c:v>851.27855030059777</c:v>
                </c:pt>
                <c:pt idx="646">
                  <c:v>855.22359600233858</c:v>
                </c:pt>
                <c:pt idx="647">
                  <c:v>859.16467080788027</c:v>
                </c:pt>
                <c:pt idx="648">
                  <c:v>863.10183039278195</c:v>
                </c:pt>
                <c:pt idx="649">
                  <c:v>867.03512903221292</c:v>
                </c:pt>
                <c:pt idx="650">
                  <c:v>870.9646195751742</c:v>
                </c:pt>
                <c:pt idx="651">
                  <c:v>874.89035341769375</c:v>
                </c:pt>
                <c:pt idx="652">
                  <c:v>878.81238047506372</c:v>
                </c:pt>
                <c:pt idx="653">
                  <c:v>882.73074915320126</c:v>
                </c:pt>
                <c:pt idx="654">
                  <c:v>886.64550631922748</c:v>
                </c:pt>
                <c:pt idx="655">
                  <c:v>890.55669727137445</c:v>
                </c:pt>
                <c:pt idx="656">
                  <c:v>894.46436570834442</c:v>
                </c:pt>
                <c:pt idx="657">
                  <c:v>898.36855369826208</c:v>
                </c:pt>
                <c:pt idx="658">
                  <c:v>902.26930164737632</c:v>
                </c:pt>
                <c:pt idx="659">
                  <c:v>906.16664826868441</c:v>
                </c:pt>
                <c:pt idx="660">
                  <c:v>910.06063055066556</c:v>
                </c:pt>
                <c:pt idx="661">
                  <c:v>913.95128372632917</c:v>
                </c:pt>
                <c:pt idx="662">
                  <c:v>917.83864124279421</c:v>
                </c:pt>
                <c:pt idx="663">
                  <c:v>921.72273473163045</c:v>
                </c:pt>
                <c:pt idx="664">
                  <c:v>925.60359398020296</c:v>
                </c:pt>
                <c:pt idx="665">
                  <c:v>929.48124690426994</c:v>
                </c:pt>
                <c:pt idx="666">
                  <c:v>933.35571952208932</c:v>
                </c:pt>
                <c:pt idx="667">
                  <c:v>937.22703593029246</c:v>
                </c:pt>
                <c:pt idx="668">
                  <c:v>941.0952182817831</c:v>
                </c:pt>
                <c:pt idx="669">
                  <c:v>944.96028676591334</c:v>
                </c:pt>
                <c:pt idx="670">
                  <c:v>948.82225959118091</c:v>
                </c:pt>
                <c:pt idx="671">
                  <c:v>952.68115297067868</c:v>
                </c:pt>
                <c:pt idx="672">
                  <c:v>956.53698111050949</c:v>
                </c:pt>
                <c:pt idx="673">
                  <c:v>960.38975620135739</c:v>
                </c:pt>
                <c:pt idx="674">
                  <c:v>964.23948841338267</c:v>
                </c:pt>
                <c:pt idx="675">
                  <c:v>968.08618589457706</c:v>
                </c:pt>
                <c:pt idx="676">
                  <c:v>971.92985477268576</c:v>
                </c:pt>
                <c:pt idx="677">
                  <c:v>975.77049916076612</c:v>
                </c:pt>
                <c:pt idx="678">
                  <c:v>979.60812116641944</c:v>
                </c:pt>
                <c:pt idx="679">
                  <c:v>983.44272090469394</c:v>
                </c:pt>
                <c:pt idx="680">
                  <c:v>987.27429651462137</c:v>
                </c:pt>
                <c:pt idx="681">
                  <c:v>991.10284417931234</c:v>
                </c:pt>
                <c:pt idx="682">
                  <c:v>994.92835814950354</c:v>
                </c:pt>
                <c:pt idx="683">
                  <c:v>998.75083077041518</c:v>
                </c:pt>
                <c:pt idx="684">
                  <c:v>1002.5702525117512</c:v>
                </c:pt>
                <c:pt idx="685">
                  <c:v>1006.386612000646</c:v>
                </c:pt>
                <c:pt idx="686">
                  <c:v>1010.1998960573435</c:v>
                </c:pt>
                <c:pt idx="687">
                  <c:v>1014.0100897333743</c:v>
                </c:pt>
                <c:pt idx="688">
                  <c:v>1017.8171763519849</c:v>
                </c:pt>
                <c:pt idx="689">
                  <c:v>1021.6211375505643</c:v>
                </c:pt>
                <c:pt idx="690">
                  <c:v>1025.4219533248092</c:v>
                </c:pt>
                <c:pt idx="691">
                  <c:v>1029.219602074367</c:v>
                </c:pt>
                <c:pt idx="692">
                  <c:v>1033.0140606497005</c:v>
                </c:pt>
                <c:pt idx="693">
                  <c:v>1036.805304399925</c:v>
                </c:pt>
                <c:pt idx="694">
                  <c:v>1040.5933072213743</c:v>
                </c:pt>
                <c:pt idx="695">
                  <c:v>1044.3780416066677</c:v>
                </c:pt>
                <c:pt idx="696">
                  <c:v>1048.1594786940618</c:v>
                </c:pt>
                <c:pt idx="697">
                  <c:v>1051.9375883168852</c:v>
                </c:pt>
                <c:pt idx="698">
                  <c:v>1055.7123390528702</c:v>
                </c:pt>
                <c:pt idx="699">
                  <c:v>1059.4836982732129</c:v>
                </c:pt>
                <c:pt idx="700">
                  <c:v>1063.2516321912094</c:v>
                </c:pt>
                <c:pt idx="701">
                  <c:v>1067.0161059103318</c:v>
                </c:pt>
                <c:pt idx="702">
                  <c:v>1070.7770834716252</c:v>
                </c:pt>
                <c:pt idx="703">
                  <c:v>1074.5345279003213</c:v>
                </c:pt>
                <c:pt idx="704">
                  <c:v>1078.2884012515804</c:v>
                </c:pt>
                <c:pt idx="705">
                  <c:v>1082.0386646552868</c:v>
                </c:pt>
                <c:pt idx="706">
                  <c:v>1085.7852783598378</c:v>
                </c:pt>
                <c:pt idx="707">
                  <c:v>1089.5282017748746</c:v>
                </c:pt>
                <c:pt idx="708">
                  <c:v>1093.2673935129203</c:v>
                </c:pt>
                <c:pt idx="709">
                  <c:v>1097.0028114298959</c:v>
                </c:pt>
                <c:pt idx="710">
                  <c:v>1100.7344126644953</c:v>
                </c:pt>
                <c:pt idx="711">
                  <c:v>1104.4621536764098</c:v>
                </c:pt>
                <c:pt idx="712">
                  <c:v>1108.1859902834003</c:v>
                </c:pt>
                <c:pt idx="713">
                  <c:v>1111.905877697217</c:v>
                </c:pt>
                <c:pt idx="714">
                  <c:v>1115.6217705583779</c:v>
                </c:pt>
                <c:pt idx="715">
                  <c:v>1119.3336229698195</c:v>
                </c:pt>
                <c:pt idx="716">
                  <c:v>1123.0413885294352</c:v>
                </c:pt>
                <c:pt idx="717">
                  <c:v>1126.7450203615233</c:v>
                </c:pt>
                <c:pt idx="718">
                  <c:v>1130.4444711471683</c:v>
                </c:pt>
                <c:pt idx="719">
                  <c:v>1134.1396931535787</c:v>
                </c:pt>
                <c:pt idx="720">
                  <c:v>1137.8306382624121</c:v>
                </c:pt>
                <c:pt idx="721">
                  <c:v>1141.5172579971127</c:v>
                </c:pt>
                <c:pt idx="722">
                  <c:v>1145.199503549293</c:v>
                </c:pt>
                <c:pt idx="723">
                  <c:v>1148.8773258041895</c:v>
                </c:pt>
                <c:pt idx="724">
                  <c:v>1152.5506753652203</c:v>
                </c:pt>
                <c:pt idx="725">
                  <c:v>1156.2195025776796</c:v>
                </c:pt>
                <c:pt idx="726">
                  <c:v>1159.8837575515954</c:v>
                </c:pt>
                <c:pt idx="727">
                  <c:v>1163.5433901837837</c:v>
                </c:pt>
                <c:pt idx="728">
                  <c:v>1167.1983501791262</c:v>
                </c:pt>
                <c:pt idx="729">
                  <c:v>1170.8485870711029</c:v>
                </c:pt>
                <c:pt idx="730">
                  <c:v>1174.4940502416073</c:v>
                </c:pt>
                <c:pt idx="731">
                  <c:v>1178.134688940072</c:v>
                </c:pt>
                <c:pt idx="732">
                  <c:v>1181.7704523019327</c:v>
                </c:pt>
                <c:pt idx="733">
                  <c:v>1185.4012893664546</c:v>
                </c:pt>
                <c:pt idx="734">
                  <c:v>1189.0271490939501</c:v>
                </c:pt>
                <c:pt idx="735">
                  <c:v>1192.6479803824095</c:v>
                </c:pt>
                <c:pt idx="736">
                  <c:v>1196.2637320835697</c:v>
                </c:pt>
                <c:pt idx="737">
                  <c:v>1199.8743530184431</c:v>
                </c:pt>
                <c:pt idx="738">
                  <c:v>1203.4797919923299</c:v>
                </c:pt>
                <c:pt idx="739">
                  <c:v>1207.0799978093328</c:v>
                </c:pt>
                <c:pt idx="740">
                  <c:v>1210.674919286397</c:v>
                </c:pt>
                <c:pt idx="741">
                  <c:v>1214.2645052668909</c:v>
                </c:pt>
                <c:pt idx="742">
                  <c:v>1217.8487046337509</c:v>
                </c:pt>
                <c:pt idx="743">
                  <c:v>1221.4274663222043</c:v>
                </c:pt>
                <c:pt idx="744">
                  <c:v>1225.0007393320877</c:v>
                </c:pt>
                <c:pt idx="745">
                  <c:v>1228.5684727397795</c:v>
                </c:pt>
                <c:pt idx="746">
                  <c:v>1232.1306157097583</c:v>
                </c:pt>
                <c:pt idx="747">
                  <c:v>1235.687117505805</c:v>
                </c:pt>
                <c:pt idx="748">
                  <c:v>1239.2379275018607</c:v>
                </c:pt>
                <c:pt idx="749">
                  <c:v>1242.7829951925551</c:v>
                </c:pt>
                <c:pt idx="750">
                  <c:v>1246.3222702034166</c:v>
                </c:pt>
                <c:pt idx="751">
                  <c:v>1249.8557023007777</c:v>
                </c:pt>
                <c:pt idx="752">
                  <c:v>1253.3832414013862</c:v>
                </c:pt>
                <c:pt idx="753">
                  <c:v>1256.9048375817338</c:v>
                </c:pt>
                <c:pt idx="754">
                  <c:v>1260.4204410871123</c:v>
                </c:pt>
                <c:pt idx="755">
                  <c:v>1263.9300023404076</c:v>
                </c:pt>
                <c:pt idx="756">
                  <c:v>1267.4334719506405</c:v>
                </c:pt>
                <c:pt idx="757">
                  <c:v>1270.9308007212633</c:v>
                </c:pt>
                <c:pt idx="758">
                  <c:v>1274.4219396582218</c:v>
                </c:pt>
                <c:pt idx="759">
                  <c:v>1277.90683997779</c:v>
                </c:pt>
                <c:pt idx="760">
                  <c:v>1281.3854531141844</c:v>
                </c:pt>
                <c:pt idx="761">
                  <c:v>1284.857730726967</c:v>
                </c:pt>
                <c:pt idx="762">
                  <c:v>1288.3236247082439</c:v>
                </c:pt>
                <c:pt idx="763">
                  <c:v>1291.783087189664</c:v>
                </c:pt>
                <c:pt idx="764">
                  <c:v>1295.2360705492274</c:v>
                </c:pt>
                <c:pt idx="765">
                  <c:v>1298.6825274179062</c:v>
                </c:pt>
                <c:pt idx="766">
                  <c:v>1302.1224106860864</c:v>
                </c:pt>
                <c:pt idx="767">
                  <c:v>1305.5556735098346</c:v>
                </c:pt>
                <c:pt idx="768">
                  <c:v>1308.9822693169949</c:v>
                </c:pt>
                <c:pt idx="769">
                  <c:v>1312.4021518131221</c:v>
                </c:pt>
                <c:pt idx="770">
                  <c:v>1315.815274987254</c:v>
                </c:pt>
                <c:pt idx="771">
                  <c:v>1319.2215931175294</c:v>
                </c:pt>
                <c:pt idx="772">
                  <c:v>1322.6210607766548</c:v>
                </c:pt>
                <c:pt idx="773">
                  <c:v>1326.0136328372232</c:v>
                </c:pt>
                <c:pt idx="774">
                  <c:v>1329.3992644768919</c:v>
                </c:pt>
                <c:pt idx="775">
                  <c:v>1332.7779111834188</c:v>
                </c:pt>
                <c:pt idx="776">
                  <c:v>1336.1495287595644</c:v>
                </c:pt>
                <c:pt idx="777">
                  <c:v>1339.5140733278606</c:v>
                </c:pt>
                <c:pt idx="778">
                  <c:v>1342.871501335251</c:v>
                </c:pt>
                <c:pt idx="779">
                  <c:v>1346.2217695576039</c:v>
                </c:pt>
                <c:pt idx="780">
                  <c:v>1349.5648351041038</c:v>
                </c:pt>
                <c:pt idx="781">
                  <c:v>1352.9006554215212</c:v>
                </c:pt>
                <c:pt idx="782">
                  <c:v>1356.2291882983641</c:v>
                </c:pt>
                <c:pt idx="783">
                  <c:v>1359.5503918689169</c:v>
                </c:pt>
                <c:pt idx="784">
                  <c:v>1362.8642246171637</c:v>
                </c:pt>
                <c:pt idx="785">
                  <c:v>1366.170645380603</c:v>
                </c:pt>
                <c:pt idx="786">
                  <c:v>1369.4696133539537</c:v>
                </c:pt>
                <c:pt idx="787">
                  <c:v>1372.7610880927548</c:v>
                </c:pt>
                <c:pt idx="788">
                  <c:v>1376.0450295168614</c:v>
                </c:pt>
                <c:pt idx="789">
                  <c:v>1379.3213979138388</c:v>
                </c:pt>
                <c:pt idx="790">
                  <c:v>1382.5901539422564</c:v>
                </c:pt>
                <c:pt idx="791">
                  <c:v>1385.8512586348827</c:v>
                </c:pt>
                <c:pt idx="792">
                  <c:v>1389.1046734017843</c:v>
                </c:pt>
                <c:pt idx="793">
                  <c:v>1392.3503600333306</c:v>
                </c:pt>
                <c:pt idx="794">
                  <c:v>1395.5882807031028</c:v>
                </c:pt>
                <c:pt idx="795">
                  <c:v>1398.8183979707139</c:v>
                </c:pt>
                <c:pt idx="796">
                  <c:v>1402.0406747845366</c:v>
                </c:pt>
                <c:pt idx="797">
                  <c:v>1405.2550744843422</c:v>
                </c:pt>
                <c:pt idx="798">
                  <c:v>1408.4615608038534</c:v>
                </c:pt>
                <c:pt idx="799">
                  <c:v>1411.6600978732085</c:v>
                </c:pt>
                <c:pt idx="800">
                  <c:v>1414.8506502213431</c:v>
                </c:pt>
                <c:pt idx="801">
                  <c:v>1418.0331827782861</c:v>
                </c:pt>
                <c:pt idx="802">
                  <c:v>1421.2076608773739</c:v>
                </c:pt>
                <c:pt idx="803">
                  <c:v>1424.3740502573835</c:v>
                </c:pt>
                <c:pt idx="804">
                  <c:v>1427.5323170645843</c:v>
                </c:pt>
                <c:pt idx="805">
                  <c:v>1430.682427854711</c:v>
                </c:pt>
                <c:pt idx="806">
                  <c:v>1433.8243495948589</c:v>
                </c:pt>
                <c:pt idx="807">
                  <c:v>1436.9580496653005</c:v>
                </c:pt>
                <c:pt idx="808">
                  <c:v>1440.0834958612277</c:v>
                </c:pt>
                <c:pt idx="809">
                  <c:v>1443.2006563944167</c:v>
                </c:pt>
                <c:pt idx="810">
                  <c:v>1446.30949989482</c:v>
                </c:pt>
                <c:pt idx="811">
                  <c:v>1449.4099954120836</c:v>
                </c:pt>
                <c:pt idx="812">
                  <c:v>1452.5021124169928</c:v>
                </c:pt>
                <c:pt idx="813">
                  <c:v>1455.5858208028451</c:v>
                </c:pt>
                <c:pt idx="814">
                  <c:v>1458.6610908867531</c:v>
                </c:pt>
                <c:pt idx="815">
                  <c:v>1461.7278934108758</c:v>
                </c:pt>
                <c:pt idx="816">
                  <c:v>1464.7861995435824</c:v>
                </c:pt>
                <c:pt idx="817">
                  <c:v>1467.8359808805451</c:v>
                </c:pt>
                <c:pt idx="818">
                  <c:v>1470.8772094457665</c:v>
                </c:pt>
                <c:pt idx="819">
                  <c:v>1473.9098576925383</c:v>
                </c:pt>
                <c:pt idx="820">
                  <c:v>1476.9338985043335</c:v>
                </c:pt>
                <c:pt idx="821">
                  <c:v>1479.9493051956338</c:v>
                </c:pt>
                <c:pt idx="822">
                  <c:v>1482.9560515126918</c:v>
                </c:pt>
                <c:pt idx="823">
                  <c:v>1485.9541116342282</c:v>
                </c:pt>
                <c:pt idx="824">
                  <c:v>1488.9434601720657</c:v>
                </c:pt>
                <c:pt idx="825">
                  <c:v>1491.9240721717003</c:v>
                </c:pt>
                <c:pt idx="826">
                  <c:v>1494.8959231128101</c:v>
                </c:pt>
                <c:pt idx="827">
                  <c:v>1497.8589889097018</c:v>
                </c:pt>
                <c:pt idx="828">
                  <c:v>1500.8132459116969</c:v>
                </c:pt>
                <c:pt idx="829">
                  <c:v>1503.7586709034574</c:v>
                </c:pt>
                <c:pt idx="830">
                  <c:v>1506.6952411052519</c:v>
                </c:pt>
                <c:pt idx="831">
                  <c:v>1509.6229341731614</c:v>
                </c:pt>
                <c:pt idx="832">
                  <c:v>1512.5417281992284</c:v>
                </c:pt>
                <c:pt idx="833">
                  <c:v>1515.4516017115463</c:v>
                </c:pt>
                <c:pt idx="834">
                  <c:v>1518.3525336742928</c:v>
                </c:pt>
                <c:pt idx="835">
                  <c:v>1521.2445034877053</c:v>
                </c:pt>
                <c:pt idx="836">
                  <c:v>1524.1274909880021</c:v>
                </c:pt>
                <c:pt idx="837">
                  <c:v>1527.0014764472458</c:v>
                </c:pt>
                <c:pt idx="838">
                  <c:v>1529.8664405731527</c:v>
                </c:pt>
                <c:pt idx="839">
                  <c:v>1532.7223645088493</c:v>
                </c:pt>
                <c:pt idx="840">
                  <c:v>1535.5692298325721</c:v>
                </c:pt>
                <c:pt idx="841">
                  <c:v>1538.4070185573166</c:v>
                </c:pt>
                <c:pt idx="842">
                  <c:v>1541.2357131304325</c:v>
                </c:pt>
                <c:pt idx="843">
                  <c:v>1544.0552964331671</c:v>
                </c:pt>
                <c:pt idx="844">
                  <c:v>1546.8657517801578</c:v>
                </c:pt>
                <c:pt idx="845">
                  <c:v>1549.6670629188723</c:v>
                </c:pt>
                <c:pt idx="846">
                  <c:v>1552.4592140290001</c:v>
                </c:pt>
                <c:pt idx="847">
                  <c:v>1555.242189721793</c:v>
                </c:pt>
                <c:pt idx="848">
                  <c:v>1558.015975039357</c:v>
                </c:pt>
                <c:pt idx="849">
                  <c:v>1560.7805554538957</c:v>
                </c:pt>
                <c:pt idx="850">
                  <c:v>1563.5359168669049</c:v>
                </c:pt>
                <c:pt idx="851">
                  <c:v>1566.2820456083205</c:v>
                </c:pt>
                <c:pt idx="852">
                  <c:v>1569.0189284356188</c:v>
                </c:pt>
                <c:pt idx="853">
                  <c:v>1571.7465525328716</c:v>
                </c:pt>
                <c:pt idx="854">
                  <c:v>1574.4649055097536</c:v>
                </c:pt>
                <c:pt idx="855">
                  <c:v>1577.1739754005068</c:v>
                </c:pt>
                <c:pt idx="856">
                  <c:v>1579.8737506628584</c:v>
                </c:pt>
                <c:pt idx="857">
                  <c:v>1582.5642201768951</c:v>
                </c:pt>
                <c:pt idx="858">
                  <c:v>1585.2453732438953</c:v>
                </c:pt>
                <c:pt idx="859">
                  <c:v>1587.9171995851161</c:v>
                </c:pt>
                <c:pt idx="860">
                  <c:v>1590.5796893405395</c:v>
                </c:pt>
                <c:pt idx="861">
                  <c:v>1593.2328330675759</c:v>
                </c:pt>
                <c:pt idx="862">
                  <c:v>1595.8766217397272</c:v>
                </c:pt>
                <c:pt idx="863">
                  <c:v>1598.5110467452082</c:v>
                </c:pt>
                <c:pt idx="864">
                  <c:v>1601.1360998855293</c:v>
                </c:pt>
                <c:pt idx="865">
                  <c:v>1603.7517733740381</c:v>
                </c:pt>
                <c:pt idx="866">
                  <c:v>1606.3580598344226</c:v>
                </c:pt>
                <c:pt idx="867">
                  <c:v>1608.9549522991772</c:v>
                </c:pt>
                <c:pt idx="868">
                  <c:v>1611.5424442080287</c:v>
                </c:pt>
                <c:pt idx="869">
                  <c:v>1614.120529406327</c:v>
                </c:pt>
                <c:pt idx="870">
                  <c:v>1616.6892021433985</c:v>
                </c:pt>
                <c:pt idx="871">
                  <c:v>1619.2484570708621</c:v>
                </c:pt>
                <c:pt idx="872">
                  <c:v>1621.798289240912</c:v>
                </c:pt>
                <c:pt idx="873">
                  <c:v>1624.3386941045642</c:v>
                </c:pt>
                <c:pt idx="874">
                  <c:v>1626.8696675098679</c:v>
                </c:pt>
                <c:pt idx="875">
                  <c:v>1629.3912057000853</c:v>
                </c:pt>
                <c:pt idx="876">
                  <c:v>1631.9033053118362</c:v>
                </c:pt>
                <c:pt idx="877">
                  <c:v>1634.4059633732106</c:v>
                </c:pt>
                <c:pt idx="878">
                  <c:v>1636.8991773018495</c:v>
                </c:pt>
                <c:pt idx="879">
                  <c:v>1639.3829449029936</c:v>
                </c:pt>
                <c:pt idx="880">
                  <c:v>1641.8572643675022</c:v>
                </c:pt>
                <c:pt idx="881">
                  <c:v>1644.3221342698403</c:v>
                </c:pt>
                <c:pt idx="882">
                  <c:v>1646.7775535660369</c:v>
                </c:pt>
                <c:pt idx="883">
                  <c:v>1649.2235215916137</c:v>
                </c:pt>
                <c:pt idx="884">
                  <c:v>1651.6600380594857</c:v>
                </c:pt>
                <c:pt idx="885">
                  <c:v>1654.0871030578332</c:v>
                </c:pt>
                <c:pt idx="886">
                  <c:v>1656.5047170479463</c:v>
                </c:pt>
                <c:pt idx="887">
                  <c:v>1658.9128808620426</c:v>
                </c:pt>
                <c:pt idx="888">
                  <c:v>1661.3115957010593</c:v>
                </c:pt>
                <c:pt idx="889">
                  <c:v>1663.7008631324186</c:v>
                </c:pt>
                <c:pt idx="890">
                  <c:v>1666.0806850877682</c:v>
                </c:pt>
                <c:pt idx="891">
                  <c:v>1668.4510638606971</c:v>
                </c:pt>
                <c:pt idx="892">
                  <c:v>1670.8120021044276</c:v>
                </c:pt>
                <c:pt idx="893">
                  <c:v>1673.1635028294841</c:v>
                </c:pt>
                <c:pt idx="894">
                  <c:v>1675.5055694013381</c:v>
                </c:pt>
                <c:pt idx="895">
                  <c:v>1677.8382055380318</c:v>
                </c:pt>
                <c:pt idx="896">
                  <c:v>1680.1614153077792</c:v>
                </c:pt>
                <c:pt idx="897">
                  <c:v>1682.4752031265461</c:v>
                </c:pt>
                <c:pt idx="898">
                  <c:v>1684.7795737556103</c:v>
                </c:pt>
                <c:pt idx="899">
                  <c:v>1687.0745322991006</c:v>
                </c:pt>
                <c:pt idx="900">
                  <c:v>1689.3600842015167</c:v>
                </c:pt>
                <c:pt idx="901">
                  <c:v>1691.6362352452304</c:v>
                </c:pt>
                <c:pt idx="902">
                  <c:v>1693.902991547968</c:v>
                </c:pt>
                <c:pt idx="903">
                  <c:v>1696.1603595602751</c:v>
                </c:pt>
                <c:pt idx="904">
                  <c:v>1698.4083460629633</c:v>
                </c:pt>
                <c:pt idx="905">
                  <c:v>1700.6469581645422</c:v>
                </c:pt>
                <c:pt idx="906">
                  <c:v>1702.8762032986319</c:v>
                </c:pt>
                <c:pt idx="907">
                  <c:v>1705.0960892213634</c:v>
                </c:pt>
                <c:pt idx="908">
                  <c:v>1707.3066240087612</c:v>
                </c:pt>
                <c:pt idx="909">
                  <c:v>1709.5078160541125</c:v>
                </c:pt>
                <c:pt idx="910">
                  <c:v>1711.6996740653221</c:v>
                </c:pt>
                <c:pt idx="911">
                  <c:v>1713.8822070622541</c:v>
                </c:pt>
                <c:pt idx="912">
                  <c:v>1716.0554243740598</c:v>
                </c:pt>
                <c:pt idx="913">
                  <c:v>1718.219335636494</c:v>
                </c:pt>
                <c:pt idx="914">
                  <c:v>1720.3739507892187</c:v>
                </c:pt>
                <c:pt idx="915">
                  <c:v>1722.5192800730961</c:v>
                </c:pt>
                <c:pt idx="916">
                  <c:v>1724.65533402747</c:v>
                </c:pt>
                <c:pt idx="917">
                  <c:v>1726.782123487437</c:v>
                </c:pt>
                <c:pt idx="918">
                  <c:v>1728.8996595811086</c:v>
                </c:pt>
                <c:pt idx="919">
                  <c:v>1731.0079537268625</c:v>
                </c:pt>
                <c:pt idx="920">
                  <c:v>1733.1070176305861</c:v>
                </c:pt>
                <c:pt idx="921">
                  <c:v>1735.1968632829119</c:v>
                </c:pt>
                <c:pt idx="922">
                  <c:v>1737.2775029564434</c:v>
                </c:pt>
                <c:pt idx="923">
                  <c:v>1739.3489492029762</c:v>
                </c:pt>
                <c:pt idx="924">
                  <c:v>1741.4112148507097</c:v>
                </c:pt>
                <c:pt idx="925">
                  <c:v>1741.4112148507097</c:v>
                </c:pt>
                <c:pt idx="926">
                  <c:v>1741.4112148507097</c:v>
                </c:pt>
                <c:pt idx="927">
                  <c:v>1741.4112148507097</c:v>
                </c:pt>
                <c:pt idx="928">
                  <c:v>1741.4112148507097</c:v>
                </c:pt>
                <c:pt idx="929">
                  <c:v>1741.4112148507097</c:v>
                </c:pt>
                <c:pt idx="930">
                  <c:v>1741.4112148507097</c:v>
                </c:pt>
                <c:pt idx="931">
                  <c:v>1741.4112148507097</c:v>
                </c:pt>
                <c:pt idx="932">
                  <c:v>1741.4112148507097</c:v>
                </c:pt>
                <c:pt idx="933">
                  <c:v>1741.4112148507097</c:v>
                </c:pt>
                <c:pt idx="934">
                  <c:v>1741.4112148507097</c:v>
                </c:pt>
                <c:pt idx="935">
                  <c:v>1741.4112148507097</c:v>
                </c:pt>
                <c:pt idx="936">
                  <c:v>1741.4112148507097</c:v>
                </c:pt>
                <c:pt idx="937">
                  <c:v>1741.4112148507097</c:v>
                </c:pt>
                <c:pt idx="938">
                  <c:v>1741.4112148507097</c:v>
                </c:pt>
                <c:pt idx="939">
                  <c:v>1741.4112148507097</c:v>
                </c:pt>
                <c:pt idx="940">
                  <c:v>1741.4112148507097</c:v>
                </c:pt>
                <c:pt idx="941">
                  <c:v>1741.4112148507097</c:v>
                </c:pt>
                <c:pt idx="942">
                  <c:v>1741.4112148507097</c:v>
                </c:pt>
                <c:pt idx="943">
                  <c:v>1741.4112148507097</c:v>
                </c:pt>
                <c:pt idx="944">
                  <c:v>1741.4112148507097</c:v>
                </c:pt>
                <c:pt idx="945">
                  <c:v>1741.4112148507097</c:v>
                </c:pt>
                <c:pt idx="946">
                  <c:v>1741.4112148507097</c:v>
                </c:pt>
                <c:pt idx="947">
                  <c:v>1741.4112148507097</c:v>
                </c:pt>
                <c:pt idx="948">
                  <c:v>1741.4112148507097</c:v>
                </c:pt>
                <c:pt idx="949">
                  <c:v>1741.4112148507097</c:v>
                </c:pt>
                <c:pt idx="950">
                  <c:v>1741.4112148507097</c:v>
                </c:pt>
                <c:pt idx="951">
                  <c:v>1741.4112148507097</c:v>
                </c:pt>
                <c:pt idx="952">
                  <c:v>1741.4112148507097</c:v>
                </c:pt>
                <c:pt idx="953">
                  <c:v>1741.4112148507097</c:v>
                </c:pt>
                <c:pt idx="954">
                  <c:v>1741.4112148507097</c:v>
                </c:pt>
                <c:pt idx="955">
                  <c:v>1741.4112148507097</c:v>
                </c:pt>
                <c:pt idx="956">
                  <c:v>1741.4112148507097</c:v>
                </c:pt>
                <c:pt idx="957">
                  <c:v>1741.4112148507097</c:v>
                </c:pt>
                <c:pt idx="958">
                  <c:v>1741.4112148507097</c:v>
                </c:pt>
                <c:pt idx="959">
                  <c:v>1741.4112148507097</c:v>
                </c:pt>
                <c:pt idx="960">
                  <c:v>1741.4112148507097</c:v>
                </c:pt>
                <c:pt idx="961">
                  <c:v>1741.4112148507097</c:v>
                </c:pt>
                <c:pt idx="962">
                  <c:v>1741.4112148507097</c:v>
                </c:pt>
                <c:pt idx="963">
                  <c:v>1741.4112148507097</c:v>
                </c:pt>
                <c:pt idx="964">
                  <c:v>1741.4112148507097</c:v>
                </c:pt>
                <c:pt idx="965">
                  <c:v>1741.4112148507097</c:v>
                </c:pt>
                <c:pt idx="966">
                  <c:v>1741.4112148507097</c:v>
                </c:pt>
                <c:pt idx="967">
                  <c:v>1741.4112148507097</c:v>
                </c:pt>
                <c:pt idx="968">
                  <c:v>1741.4112148507097</c:v>
                </c:pt>
                <c:pt idx="969">
                  <c:v>1741.4112148507097</c:v>
                </c:pt>
                <c:pt idx="970">
                  <c:v>1741.4112148507097</c:v>
                </c:pt>
                <c:pt idx="971">
                  <c:v>1741.4112148507097</c:v>
                </c:pt>
                <c:pt idx="972">
                  <c:v>1741.4112148507097</c:v>
                </c:pt>
                <c:pt idx="973">
                  <c:v>1741.4112148507097</c:v>
                </c:pt>
                <c:pt idx="974">
                  <c:v>1741.4112148507097</c:v>
                </c:pt>
                <c:pt idx="975">
                  <c:v>1741.4112148507097</c:v>
                </c:pt>
                <c:pt idx="976">
                  <c:v>1741.4112148507097</c:v>
                </c:pt>
                <c:pt idx="977">
                  <c:v>1741.4112148507097</c:v>
                </c:pt>
                <c:pt idx="978">
                  <c:v>1741.4112148507097</c:v>
                </c:pt>
                <c:pt idx="979">
                  <c:v>1741.4112148507097</c:v>
                </c:pt>
                <c:pt idx="980">
                  <c:v>1741.4112148507097</c:v>
                </c:pt>
                <c:pt idx="981">
                  <c:v>1741.4112148507097</c:v>
                </c:pt>
                <c:pt idx="982">
                  <c:v>1741.4112148507097</c:v>
                </c:pt>
                <c:pt idx="983">
                  <c:v>1741.4112148507097</c:v>
                </c:pt>
                <c:pt idx="984">
                  <c:v>1741.4112148507097</c:v>
                </c:pt>
                <c:pt idx="985">
                  <c:v>1741.4112148507097</c:v>
                </c:pt>
                <c:pt idx="986">
                  <c:v>1741.4112148507097</c:v>
                </c:pt>
                <c:pt idx="987">
                  <c:v>1741.4112148507097</c:v>
                </c:pt>
                <c:pt idx="988">
                  <c:v>1741.4112148507097</c:v>
                </c:pt>
                <c:pt idx="989">
                  <c:v>1741.4112148507097</c:v>
                </c:pt>
                <c:pt idx="990">
                  <c:v>1741.4112148507097</c:v>
                </c:pt>
                <c:pt idx="991">
                  <c:v>1741.4112148507097</c:v>
                </c:pt>
                <c:pt idx="992">
                  <c:v>1741.4112148507097</c:v>
                </c:pt>
                <c:pt idx="993">
                  <c:v>1741.4112148507097</c:v>
                </c:pt>
                <c:pt idx="994">
                  <c:v>1741.4112148507097</c:v>
                </c:pt>
                <c:pt idx="995">
                  <c:v>1741.4112148507097</c:v>
                </c:pt>
                <c:pt idx="996">
                  <c:v>1741.4112148507097</c:v>
                </c:pt>
                <c:pt idx="997">
                  <c:v>1741.4112148507097</c:v>
                </c:pt>
                <c:pt idx="998">
                  <c:v>1741.4112148507097</c:v>
                </c:pt>
                <c:pt idx="999">
                  <c:v>1741.4112148507097</c:v>
                </c:pt>
                <c:pt idx="1000">
                  <c:v>1741.4112148507097</c:v>
                </c:pt>
              </c:numCache>
            </c:numRef>
          </c:xVal>
          <c:yVal>
            <c:numRef>
              <c:f>Calculs!$AE$4:$AE$1004</c:f>
              <c:numCache>
                <c:formatCode>0</c:formatCode>
                <c:ptCount val="1001"/>
                <c:pt idx="0">
                  <c:v>0</c:v>
                </c:pt>
                <c:pt idx="1">
                  <c:v>3.6937359344706394E-4</c:v>
                </c:pt>
                <c:pt idx="2">
                  <c:v>2.409843196968374E-3</c:v>
                </c:pt>
                <c:pt idx="3">
                  <c:v>7.440741493872579E-3</c:v>
                </c:pt>
                <c:pt idx="4">
                  <c:v>1.623630438492359E-2</c:v>
                </c:pt>
                <c:pt idx="5">
                  <c:v>2.9571348273326512E-2</c:v>
                </c:pt>
                <c:pt idx="6">
                  <c:v>4.8221358059421959E-2</c:v>
                </c:pt>
                <c:pt idx="7">
                  <c:v>7.296257457439749E-2</c:v>
                </c:pt>
                <c:pt idx="8">
                  <c:v>0.10457208148333813</c:v>
                </c:pt>
                <c:pt idx="9">
                  <c:v>0.1438278916872418</c:v>
                </c:pt>
                <c:pt idx="10">
                  <c:v>0.19150903325295746</c:v>
                </c:pt>
                <c:pt idx="11">
                  <c:v>0.24817296831150651</c:v>
                </c:pt>
                <c:pt idx="12">
                  <c:v>0.31393252335261035</c:v>
                </c:pt>
                <c:pt idx="13">
                  <c:v>0.38867618672903692</c:v>
                </c:pt>
                <c:pt idx="14">
                  <c:v>0.47228885012694549</c:v>
                </c:pt>
                <c:pt idx="15">
                  <c:v>0.56465350225469901</c:v>
                </c:pt>
                <c:pt idx="16">
                  <c:v>0.66565292596421655</c:v>
                </c:pt>
                <c:pt idx="17">
                  <c:v>0.77516970154074527</c:v>
                </c:pt>
                <c:pt idx="18">
                  <c:v>0.8930862099908885</c:v>
                </c:pt>
                <c:pt idx="19">
                  <c:v>1.0192846363284953</c:v>
                </c:pt>
                <c:pt idx="20">
                  <c:v>1.1536469728580168</c:v>
                </c:pt>
                <c:pt idx="21">
                  <c:v>1.2960550224549374</c:v>
                </c:pt>
                <c:pt idx="22">
                  <c:v>1.4463904018428917</c:v>
                </c:pt>
                <c:pt idx="23">
                  <c:v>1.6045345448670789</c:v>
                </c:pt>
                <c:pt idx="24">
                  <c:v>1.7703687057635917</c:v>
                </c:pt>
                <c:pt idx="25">
                  <c:v>1.9437739624242751</c:v>
                </c:pt>
                <c:pt idx="26">
                  <c:v>2.1246312196567372</c:v>
                </c:pt>
                <c:pt idx="27">
                  <c:v>2.3128511191445789</c:v>
                </c:pt>
                <c:pt idx="28">
                  <c:v>2.5084039963978619</c:v>
                </c:pt>
                <c:pt idx="29">
                  <c:v>2.7112900453318853</c:v>
                </c:pt>
                <c:pt idx="30">
                  <c:v>2.9215094342123353</c:v>
                </c:pt>
                <c:pt idx="31">
                  <c:v>3.1390623056262128</c:v>
                </c:pt>
                <c:pt idx="32">
                  <c:v>3.3639487764531877</c:v>
                </c:pt>
                <c:pt idx="33">
                  <c:v>3.596168937837386</c:v>
                </c:pt>
                <c:pt idx="34">
                  <c:v>3.8357228551596076</c:v>
                </c:pt>
                <c:pt idx="35">
                  <c:v>4.0826105680099767</c:v>
                </c:pt>
                <c:pt idx="36">
                  <c:v>4.336817293532202</c:v>
                </c:pt>
                <c:pt idx="37">
                  <c:v>4.5983277538632219</c:v>
                </c:pt>
                <c:pt idx="38">
                  <c:v>4.8671409756608819</c:v>
                </c:pt>
                <c:pt idx="39">
                  <c:v>5.1432559719222475</c:v>
                </c:pt>
                <c:pt idx="40">
                  <c:v>5.4266717479223958</c:v>
                </c:pt>
                <c:pt idx="41">
                  <c:v>5.7173873003768731</c:v>
                </c:pt>
                <c:pt idx="42">
                  <c:v>6.0154016166609923</c:v>
                </c:pt>
                <c:pt idx="43">
                  <c:v>6.3207136740807677</c:v>
                </c:pt>
                <c:pt idx="44">
                  <c:v>6.6333224391908958</c:v>
                </c:pt>
                <c:pt idx="45">
                  <c:v>6.9532268671556769</c:v>
                </c:pt>
                <c:pt idx="46">
                  <c:v>7.2804259011492434</c:v>
                </c:pt>
                <c:pt idx="47">
                  <c:v>7.6149184717918317</c:v>
                </c:pt>
                <c:pt idx="48">
                  <c:v>7.9567034966191779</c:v>
                </c:pt>
                <c:pt idx="49">
                  <c:v>8.3057798795824134</c:v>
                </c:pt>
                <c:pt idx="50">
                  <c:v>8.6621465105761057</c:v>
                </c:pt>
                <c:pt idx="51">
                  <c:v>9.0258022649923042</c:v>
                </c:pt>
                <c:pt idx="52">
                  <c:v>9.39674600329867</c:v>
                </c:pt>
                <c:pt idx="53">
                  <c:v>9.7749765706389393</c:v>
                </c:pt>
                <c:pt idx="54">
                  <c:v>10.160492796454141</c:v>
                </c:pt>
                <c:pt idx="55">
                  <c:v>10.553293494123118</c:v>
                </c:pt>
                <c:pt idx="56">
                  <c:v>10.953377460621033</c:v>
                </c:pt>
                <c:pt idx="57">
                  <c:v>11.36074347619468</c:v>
                </c:pt>
                <c:pt idx="58">
                  <c:v>11.775390304053468</c:v>
                </c:pt>
                <c:pt idx="59">
                  <c:v>12.197316690075109</c:v>
                </c:pt>
                <c:pt idx="60">
                  <c:v>12.626521362525043</c:v>
                </c:pt>
                <c:pt idx="61">
                  <c:v>13.063003031788798</c:v>
                </c:pt>
                <c:pt idx="62">
                  <c:v>13.506760390116462</c:v>
                </c:pt>
                <c:pt idx="63">
                  <c:v>13.957792111378586</c:v>
                </c:pt>
                <c:pt idx="64">
                  <c:v>14.416096850832806</c:v>
                </c:pt>
                <c:pt idx="65">
                  <c:v>14.88167324490062</c:v>
                </c:pt>
                <c:pt idx="66">
                  <c:v>15.354519910953712</c:v>
                </c:pt>
                <c:pt idx="67">
                  <c:v>15.834635447109322</c:v>
                </c:pt>
                <c:pt idx="68">
                  <c:v>16.322018432034156</c:v>
                </c:pt>
                <c:pt idx="69">
                  <c:v>16.816667424756393</c:v>
                </c:pt>
                <c:pt idx="70">
                  <c:v>17.318580964485363</c:v>
                </c:pt>
                <c:pt idx="71">
                  <c:v>17.827757570438511</c:v>
                </c:pt>
                <c:pt idx="72">
                  <c:v>18.344195401050573</c:v>
                </c:pt>
                <c:pt idx="73">
                  <c:v>18.867891912765909</c:v>
                </c:pt>
                <c:pt idx="74">
                  <c:v>19.398844199907973</c:v>
                </c:pt>
                <c:pt idx="75">
                  <c:v>19.937049334983051</c:v>
                </c:pt>
                <c:pt idx="76">
                  <c:v>20.482504368548444</c:v>
                </c:pt>
                <c:pt idx="77">
                  <c:v>21.035206329086257</c:v>
                </c:pt>
                <c:pt idx="78">
                  <c:v>21.595152222882575</c:v>
                </c:pt>
                <c:pt idx="79">
                  <c:v>22.162339033911731</c:v>
                </c:pt>
                <c:pt idx="80">
                  <c:v>22.736763723725492</c:v>
                </c:pt>
                <c:pt idx="81">
                  <c:v>23.318423231346934</c:v>
                </c:pt>
                <c:pt idx="82">
                  <c:v>23.907314473168796</c:v>
                </c:pt>
                <c:pt idx="83">
                  <c:v>24.503434342856153</c:v>
                </c:pt>
                <c:pt idx="84">
                  <c:v>25.106779711253207</c:v>
                </c:pt>
                <c:pt idx="85">
                  <c:v>25.717347426294037</c:v>
                </c:pt>
                <c:pt idx="86">
                  <c:v>26.335134312917177</c:v>
                </c:pt>
                <c:pt idx="87">
                  <c:v>26.960137172983831</c:v>
                </c:pt>
                <c:pt idx="88">
                  <c:v>27.592352785199633</c:v>
                </c:pt>
                <c:pt idx="89">
                  <c:v>28.23177790503977</c:v>
                </c:pt>
                <c:pt idx="90">
                  <c:v>28.878409264677394</c:v>
                </c:pt>
                <c:pt idx="91">
                  <c:v>29.532243572915171</c:v>
                </c:pt>
                <c:pt idx="92">
                  <c:v>30.193277515119874</c:v>
                </c:pt>
                <c:pt idx="93">
                  <c:v>30.861507753159898</c:v>
                </c:pt>
                <c:pt idx="94">
                  <c:v>31.536930925345615</c:v>
                </c:pt>
                <c:pt idx="95">
                  <c:v>32.219543646372458</c:v>
                </c:pt>
                <c:pt idx="96">
                  <c:v>32.909342507266665</c:v>
                </c:pt>
                <c:pt idx="97">
                  <c:v>33.606324075333561</c:v>
                </c:pt>
                <c:pt idx="98">
                  <c:v>34.310484894108342</c:v>
                </c:pt>
                <c:pt idx="99">
                  <c:v>35.021821483309246</c:v>
                </c:pt>
                <c:pt idx="100">
                  <c:v>35.740330338793065</c:v>
                </c:pt>
                <c:pt idx="101">
                  <c:v>36.466007932512895</c:v>
                </c:pt>
                <c:pt idx="102">
                  <c:v>37.198850712478098</c:v>
                </c:pt>
                <c:pt idx="103">
                  <c:v>37.938855102716381</c:v>
                </c:pt>
                <c:pt idx="104">
                  <c:v>38.686017503237935</c:v>
                </c:pt>
                <c:pt idx="105">
                  <c:v>39.440334290001601</c:v>
                </c:pt>
                <c:pt idx="106">
                  <c:v>40.201801814882984</c:v>
                </c:pt>
                <c:pt idx="107">
                  <c:v>40.970416405644443</c:v>
                </c:pt>
                <c:pt idx="108">
                  <c:v>41.74617436590696</c:v>
                </c:pt>
                <c:pt idx="109">
                  <c:v>42.529071975123799</c:v>
                </c:pt>
                <c:pt idx="110">
                  <c:v>43.319105488555927</c:v>
                </c:pt>
                <c:pt idx="111">
                  <c:v>44.116271137249136</c:v>
                </c:pt>
                <c:pt idx="112">
                  <c:v>44.920565128012832</c:v>
                </c:pt>
                <c:pt idx="113">
                  <c:v>45.731983643400469</c:v>
                </c:pt>
                <c:pt idx="114">
                  <c:v>46.550522841691546</c:v>
                </c:pt>
                <c:pt idx="115">
                  <c:v>47.376178856875185</c:v>
                </c:pt>
                <c:pt idx="116">
                  <c:v>48.208947798635201</c:v>
                </c:pt>
                <c:pt idx="117">
                  <c:v>49.048825752336661</c:v>
                </c:pt>
                <c:pt idx="118">
                  <c:v>49.895808779013905</c:v>
                </c:pt>
                <c:pt idx="119">
                  <c:v>50.749892915359951</c:v>
                </c:pt>
                <c:pt idx="120">
                  <c:v>51.611074173717334</c:v>
                </c:pt>
                <c:pt idx="121">
                  <c:v>52.479348542070248</c:v>
                </c:pt>
                <c:pt idx="122">
                  <c:v>53.354711984038062</c:v>
                </c:pt>
                <c:pt idx="123">
                  <c:v>54.237160438870106</c:v>
                </c:pt>
                <c:pt idx="124">
                  <c:v>55.126689821441772</c:v>
                </c:pt>
                <c:pt idx="125">
                  <c:v>56.023296022251806</c:v>
                </c:pt>
                <c:pt idx="126">
                  <c:v>56.926974907420878</c:v>
                </c:pt>
                <c:pt idx="127">
                  <c:v>57.837722318691327</c:v>
                </c:pt>
                <c:pt idx="128">
                  <c:v>58.755534073428123</c:v>
                </c:pt>
                <c:pt idx="129">
                  <c:v>59.680404399144614</c:v>
                </c:pt>
                <c:pt idx="130">
                  <c:v>60.612324366313949</c:v>
                </c:pt>
                <c:pt idx="131">
                  <c:v>61.551283451619859</c:v>
                </c:pt>
                <c:pt idx="132">
                  <c:v>62.497271102957384</c:v>
                </c:pt>
                <c:pt idx="133">
                  <c:v>63.45027673950603</c:v>
                </c:pt>
                <c:pt idx="134">
                  <c:v>64.410289751804186</c:v>
                </c:pt>
                <c:pt idx="135">
                  <c:v>65.377299501824808</c:v>
                </c:pt>
                <c:pt idx="136">
                  <c:v>66.351295323052284</c:v>
                </c:pt>
                <c:pt idx="137">
                  <c:v>67.332266520560481</c:v>
                </c:pt>
                <c:pt idx="138">
                  <c:v>68.320202371092023</c:v>
                </c:pt>
                <c:pt idx="139">
                  <c:v>69.315092123138626</c:v>
                </c:pt>
                <c:pt idx="140">
                  <c:v>70.31692499702261</c:v>
                </c:pt>
                <c:pt idx="141">
                  <c:v>71.325690184979493</c:v>
                </c:pt>
                <c:pt idx="142">
                  <c:v>72.34137685124162</c:v>
                </c:pt>
                <c:pt idx="143">
                  <c:v>73.36397413212292</c:v>
                </c:pt>
                <c:pt idx="144">
                  <c:v>74.393471136104637</c:v>
                </c:pt>
                <c:pt idx="145">
                  <c:v>75.429856943922118</c:v>
                </c:pt>
                <c:pt idx="146">
                  <c:v>76.473120608652536</c:v>
                </c:pt>
                <c:pt idx="147">
                  <c:v>77.523251155803649</c:v>
                </c:pt>
                <c:pt idx="148">
                  <c:v>78.580237583403516</c:v>
                </c:pt>
                <c:pt idx="149">
                  <c:v>79.644068862091089</c:v>
                </c:pt>
                <c:pt idx="150">
                  <c:v>80.714733935207803</c:v>
                </c:pt>
                <c:pt idx="151">
                  <c:v>81.792221718890033</c:v>
                </c:pt>
                <c:pt idx="152">
                  <c:v>82.876521102162428</c:v>
                </c:pt>
                <c:pt idx="153">
                  <c:v>83.96762094703216</c:v>
                </c:pt>
                <c:pt idx="154">
                  <c:v>85.065510088583991</c:v>
                </c:pt>
                <c:pt idx="155">
                  <c:v>86.170177335076204</c:v>
                </c:pt>
                <c:pt idx="156">
                  <c:v>87.28161146803734</c:v>
                </c:pt>
                <c:pt idx="157">
                  <c:v>88.399801242363779</c:v>
                </c:pt>
                <c:pt idx="158">
                  <c:v>89.524735386418087</c:v>
                </c:pt>
                <c:pt idx="159">
                  <c:v>90.656402602128168</c:v>
                </c:pt>
                <c:pt idx="160">
                  <c:v>91.794791565087138</c:v>
                </c:pt>
                <c:pt idx="161">
                  <c:v>92.939890924654023</c:v>
                </c:pt>
                <c:pt idx="162">
                  <c:v>94.091689304055166</c:v>
                </c:pt>
                <c:pt idx="163">
                  <c:v>95.250175300486362</c:v>
                </c:pt>
                <c:pt idx="164">
                  <c:v>96.415337485215687</c:v>
                </c:pt>
                <c:pt idx="165">
                  <c:v>97.587164403687083</c:v>
                </c:pt>
                <c:pt idx="166">
                  <c:v>98.765644575624592</c:v>
                </c:pt>
                <c:pt idx="167">
                  <c:v>99.950766495137273</c:v>
                </c:pt>
                <c:pt idx="168">
                  <c:v>101.14251863082478</c:v>
                </c:pt>
                <c:pt idx="169">
                  <c:v>102.34088942588367</c:v>
                </c:pt>
                <c:pt idx="170">
                  <c:v>103.54586729821423</c:v>
                </c:pt>
                <c:pt idx="171">
                  <c:v>104.75744064052802</c:v>
                </c:pt>
                <c:pt idx="172">
                  <c:v>105.975597820456</c:v>
                </c:pt>
                <c:pt idx="173">
                  <c:v>107.20032718065733</c:v>
                </c:pt>
                <c:pt idx="174">
                  <c:v>108.43161703892868</c:v>
                </c:pt>
                <c:pt idx="175">
                  <c:v>109.66945568831419</c:v>
                </c:pt>
                <c:pt idx="176">
                  <c:v>110.91383139721597</c:v>
                </c:pt>
                <c:pt idx="177">
                  <c:v>112.16473240950522</c:v>
                </c:pt>
                <c:pt idx="178">
                  <c:v>113.42214694463382</c:v>
                </c:pt>
                <c:pt idx="179">
                  <c:v>114.68606319774661</c:v>
                </c:pt>
                <c:pt idx="180">
                  <c:v>115.956469339794</c:v>
                </c:pt>
                <c:pt idx="181">
                  <c:v>117.23335351764533</c:v>
                </c:pt>
                <c:pt idx="182">
                  <c:v>118.5167038542026</c:v>
                </c:pt>
                <c:pt idx="183">
                  <c:v>119.80650844851476</c:v>
                </c:pt>
                <c:pt idx="184">
                  <c:v>121.1027553758925</c:v>
                </c:pt>
                <c:pt idx="185">
                  <c:v>122.4054326880235</c:v>
                </c:pt>
                <c:pt idx="186">
                  <c:v>123.71452841308822</c:v>
                </c:pt>
                <c:pt idx="187">
                  <c:v>125.0300305558761</c:v>
                </c:pt>
                <c:pt idx="188">
                  <c:v>126.35192709790223</c:v>
                </c:pt>
                <c:pt idx="189">
                  <c:v>127.68020599752458</c:v>
                </c:pt>
                <c:pt idx="190">
                  <c:v>129.0148551900615</c:v>
                </c:pt>
                <c:pt idx="191">
                  <c:v>130.35586258790974</c:v>
                </c:pt>
                <c:pt idx="192">
                  <c:v>131.70321608066297</c:v>
                </c:pt>
                <c:pt idx="193">
                  <c:v>133.05690353523062</c:v>
                </c:pt>
                <c:pt idx="194">
                  <c:v>134.41691279595719</c:v>
                </c:pt>
                <c:pt idx="195">
                  <c:v>135.78323168474185</c:v>
                </c:pt>
                <c:pt idx="196">
                  <c:v>137.15584800115866</c:v>
                </c:pt>
                <c:pt idx="197">
                  <c:v>138.53474952257696</c:v>
                </c:pt>
                <c:pt idx="198">
                  <c:v>139.91992400428219</c:v>
                </c:pt>
                <c:pt idx="199">
                  <c:v>141.31135917959716</c:v>
                </c:pt>
                <c:pt idx="200">
                  <c:v>142.70904276000368</c:v>
                </c:pt>
                <c:pt idx="201">
                  <c:v>144.11296243526439</c:v>
                </c:pt>
                <c:pt idx="202">
                  <c:v>145.52310587354515</c:v>
                </c:pt>
                <c:pt idx="203">
                  <c:v>146.93946072153759</c:v>
                </c:pt>
                <c:pt idx="204">
                  <c:v>148.36201460458213</c:v>
                </c:pt>
                <c:pt idx="205">
                  <c:v>149.79075512679125</c:v>
                </c:pt>
                <c:pt idx="206">
                  <c:v>151.22566949051395</c:v>
                </c:pt>
                <c:pt idx="207">
                  <c:v>152.66674411552015</c:v>
                </c:pt>
                <c:pt idx="208">
                  <c:v>154.11396501950296</c:v>
                </c:pt>
                <c:pt idx="209">
                  <c:v>155.56731819887074</c:v>
                </c:pt>
                <c:pt idx="210">
                  <c:v>157.02678962889007</c:v>
                </c:pt>
                <c:pt idx="211">
                  <c:v>158.49236526382896</c:v>
                </c:pt>
                <c:pt idx="212">
                  <c:v>159.96403103710037</c:v>
                </c:pt>
                <c:pt idx="213">
                  <c:v>161.44177286140587</c:v>
                </c:pt>
                <c:pt idx="214">
                  <c:v>162.92557662887964</c:v>
                </c:pt>
                <c:pt idx="215">
                  <c:v>164.41542821123264</c:v>
                </c:pt>
                <c:pt idx="216">
                  <c:v>165.91131345989692</c:v>
                </c:pt>
                <c:pt idx="217">
                  <c:v>167.41321820617031</c:v>
                </c:pt>
                <c:pt idx="218">
                  <c:v>168.92112826136116</c:v>
                </c:pt>
                <c:pt idx="219">
                  <c:v>170.43502941693336</c:v>
                </c:pt>
                <c:pt idx="220">
                  <c:v>171.95490744465144</c:v>
                </c:pt>
                <c:pt idx="221">
                  <c:v>173.48074809672596</c:v>
                </c:pt>
                <c:pt idx="222">
                  <c:v>175.01253710595907</c:v>
                </c:pt>
                <c:pt idx="223">
                  <c:v>176.5502601858901</c:v>
                </c:pt>
                <c:pt idx="224">
                  <c:v>178.09390303094145</c:v>
                </c:pt>
                <c:pt idx="225">
                  <c:v>179.64345131656452</c:v>
                </c:pt>
                <c:pt idx="226">
                  <c:v>181.19889069938594</c:v>
                </c:pt>
                <c:pt idx="227">
                  <c:v>182.76020681735366</c:v>
                </c:pt>
                <c:pt idx="228">
                  <c:v>184.32738528988347</c:v>
                </c:pt>
                <c:pt idx="229">
                  <c:v>185.90041171800542</c:v>
                </c:pt>
                <c:pt idx="230">
                  <c:v>187.47927168451051</c:v>
                </c:pt>
                <c:pt idx="231">
                  <c:v>189.06395075409728</c:v>
                </c:pt>
                <c:pt idx="232">
                  <c:v>190.65443447351876</c:v>
                </c:pt>
                <c:pt idx="233">
                  <c:v>192.2507083717293</c:v>
                </c:pt>
                <c:pt idx="234">
                  <c:v>193.8527579600316</c:v>
                </c:pt>
                <c:pt idx="235">
                  <c:v>195.46056873222372</c:v>
                </c:pt>
                <c:pt idx="236">
                  <c:v>197.0741261647463</c:v>
                </c:pt>
                <c:pt idx="237">
                  <c:v>198.69341571682972</c:v>
                </c:pt>
                <c:pt idx="238">
                  <c:v>200.31842283064137</c:v>
                </c:pt>
                <c:pt idx="239">
                  <c:v>201.94913293143298</c:v>
                </c:pt>
                <c:pt idx="240">
                  <c:v>203.58553142768801</c:v>
                </c:pt>
                <c:pt idx="241">
                  <c:v>205.22760371126896</c:v>
                </c:pt>
                <c:pt idx="242">
                  <c:v>206.87533384250113</c:v>
                </c:pt>
                <c:pt idx="243">
                  <c:v>208.52870323452919</c:v>
                </c:pt>
                <c:pt idx="244">
                  <c:v>210.1876919680021</c:v>
                </c:pt>
                <c:pt idx="245">
                  <c:v>211.85228010651844</c:v>
                </c:pt>
                <c:pt idx="246">
                  <c:v>213.52244769683969</c:v>
                </c:pt>
                <c:pt idx="247">
                  <c:v>215.19817476910347</c:v>
                </c:pt>
                <c:pt idx="248">
                  <c:v>216.87944133703644</c:v>
                </c:pt>
                <c:pt idx="249">
                  <c:v>218.56622739816703</c:v>
                </c:pt>
                <c:pt idx="250">
                  <c:v>220.25851293403795</c:v>
                </c:pt>
                <c:pt idx="251">
                  <c:v>221.95627791041844</c:v>
                </c:pt>
                <c:pt idx="252">
                  <c:v>223.65950227751628</c:v>
                </c:pt>
                <c:pt idx="253">
                  <c:v>225.36816597018955</c:v>
                </c:pt>
                <c:pt idx="254">
                  <c:v>227.08224890815805</c:v>
                </c:pt>
                <c:pt idx="255">
                  <c:v>228.80173099621453</c:v>
                </c:pt>
                <c:pt idx="256">
                  <c:v>230.52659212443558</c:v>
                </c:pt>
                <c:pt idx="257">
                  <c:v>232.25681216839226</c:v>
                </c:pt>
                <c:pt idx="258">
                  <c:v>233.99237098936038</c:v>
                </c:pt>
                <c:pt idx="259">
                  <c:v>235.73324843453059</c:v>
                </c:pt>
                <c:pt idx="260">
                  <c:v>237.47942433721792</c:v>
                </c:pt>
                <c:pt idx="261">
                  <c:v>239.23087851707126</c:v>
                </c:pt>
                <c:pt idx="262">
                  <c:v>240.98759078028229</c:v>
                </c:pt>
                <c:pt idx="263">
                  <c:v>242.74954091979419</c:v>
                </c:pt>
                <c:pt idx="264">
                  <c:v>244.51670871550996</c:v>
                </c:pt>
                <c:pt idx="265">
                  <c:v>246.28907393450035</c:v>
                </c:pt>
                <c:pt idx="266">
                  <c:v>248.06661633121146</c:v>
                </c:pt>
                <c:pt idx="267">
                  <c:v>249.849315647672</c:v>
                </c:pt>
                <c:pt idx="268">
                  <c:v>251.63715161370007</c:v>
                </c:pt>
                <c:pt idx="269">
                  <c:v>253.43010394710961</c:v>
                </c:pt>
                <c:pt idx="270">
                  <c:v>255.22815235391644</c:v>
                </c:pt>
                <c:pt idx="271">
                  <c:v>257.03127652854391</c:v>
                </c:pt>
                <c:pt idx="272">
                  <c:v>258.83945615402814</c:v>
                </c:pt>
                <c:pt idx="273">
                  <c:v>260.65267090222278</c:v>
                </c:pt>
                <c:pt idx="274">
                  <c:v>262.4709004340034</c:v>
                </c:pt>
                <c:pt idx="275">
                  <c:v>264.29412439947146</c:v>
                </c:pt>
                <c:pt idx="276">
                  <c:v>266.12232243815777</c:v>
                </c:pt>
                <c:pt idx="277">
                  <c:v>267.95547417922546</c:v>
                </c:pt>
                <c:pt idx="278">
                  <c:v>269.79355924167282</c:v>
                </c:pt>
                <c:pt idx="279">
                  <c:v>271.63655723453513</c:v>
                </c:pt>
                <c:pt idx="280">
                  <c:v>273.48444775708651</c:v>
                </c:pt>
                <c:pt idx="281">
                  <c:v>275.337210399041</c:v>
                </c:pt>
                <c:pt idx="282">
                  <c:v>277.1948247407534</c:v>
                </c:pt>
                <c:pt idx="283">
                  <c:v>279.05727035341931</c:v>
                </c:pt>
                <c:pt idx="284">
                  <c:v>280.92452834216084</c:v>
                </c:pt>
                <c:pt idx="285">
                  <c:v>282.79658288957563</c:v>
                </c:pt>
                <c:pt idx="286">
                  <c:v>284.67341971298526</c:v>
                </c:pt>
                <c:pt idx="287">
                  <c:v>286.55502452118424</c:v>
                </c:pt>
                <c:pt idx="288">
                  <c:v>288.44138301456792</c:v>
                </c:pt>
                <c:pt idx="289">
                  <c:v>290.33248088525988</c:v>
                </c:pt>
                <c:pt idx="290">
                  <c:v>292.22830381723946</c:v>
                </c:pt>
                <c:pt idx="291">
                  <c:v>294.1288374864688</c:v>
                </c:pt>
                <c:pt idx="292">
                  <c:v>296.03406756101958</c:v>
                </c:pt>
                <c:pt idx="293">
                  <c:v>297.94397970119991</c:v>
                </c:pt>
                <c:pt idx="294">
                  <c:v>299.85855955968071</c:v>
                </c:pt>
                <c:pt idx="295">
                  <c:v>301.77779278162183</c:v>
                </c:pt>
                <c:pt idx="296">
                  <c:v>303.70166500479814</c:v>
                </c:pt>
                <c:pt idx="297">
                  <c:v>305.63016185972509</c:v>
                </c:pt>
                <c:pt idx="298">
                  <c:v>307.56326896978442</c:v>
                </c:pt>
                <c:pt idx="299">
                  <c:v>309.50097195134913</c:v>
                </c:pt>
                <c:pt idx="300">
                  <c:v>311.44325641390867</c:v>
                </c:pt>
                <c:pt idx="301">
                  <c:v>313.39010796019357</c:v>
                </c:pt>
                <c:pt idx="302">
                  <c:v>315.34151218629989</c:v>
                </c:pt>
                <c:pt idx="303">
                  <c:v>317.29745468181352</c:v>
                </c:pt>
                <c:pt idx="304">
                  <c:v>319.25792102993404</c:v>
                </c:pt>
                <c:pt idx="305">
                  <c:v>321.22289680759832</c:v>
                </c:pt>
                <c:pt idx="306">
                  <c:v>323.19236758560413</c:v>
                </c:pt>
                <c:pt idx="307">
                  <c:v>325.16631892873306</c:v>
                </c:pt>
                <c:pt idx="308">
                  <c:v>327.14473639587351</c:v>
                </c:pt>
                <c:pt idx="309">
                  <c:v>329.12760554014312</c:v>
                </c:pt>
                <c:pt idx="310">
                  <c:v>331.1149119090112</c:v>
                </c:pt>
                <c:pt idx="311">
                  <c:v>333.1066410444206</c:v>
                </c:pt>
                <c:pt idx="312">
                  <c:v>335.10277848290946</c:v>
                </c:pt>
                <c:pt idx="313">
                  <c:v>337.1033097557326</c:v>
                </c:pt>
                <c:pt idx="314">
                  <c:v>339.10822038898272</c:v>
                </c:pt>
                <c:pt idx="315">
                  <c:v>341.11749590371107</c:v>
                </c:pt>
                <c:pt idx="316">
                  <c:v>343.13112181604811</c:v>
                </c:pt>
                <c:pt idx="317">
                  <c:v>345.1490836373236</c:v>
                </c:pt>
                <c:pt idx="318">
                  <c:v>347.17136687418656</c:v>
                </c:pt>
                <c:pt idx="319">
                  <c:v>349.19795702872483</c:v>
                </c:pt>
                <c:pt idx="320">
                  <c:v>351.22883959858433</c:v>
                </c:pt>
                <c:pt idx="321">
                  <c:v>353.26400007708804</c:v>
                </c:pt>
                <c:pt idx="322">
                  <c:v>355.30342395335464</c:v>
                </c:pt>
                <c:pt idx="323">
                  <c:v>357.34709671241683</c:v>
                </c:pt>
                <c:pt idx="324">
                  <c:v>359.39500383533931</c:v>
                </c:pt>
                <c:pt idx="325">
                  <c:v>361.44713079933638</c:v>
                </c:pt>
                <c:pt idx="326">
                  <c:v>363.50346317260096</c:v>
                </c:pt>
                <c:pt idx="327">
                  <c:v>365.56398670914376</c:v>
                </c:pt>
                <c:pt idx="328">
                  <c:v>367.62868725416229</c:v>
                </c:pt>
                <c:pt idx="329">
                  <c:v>369.69755064939744</c:v>
                </c:pt>
                <c:pt idx="330">
                  <c:v>371.77056273324575</c:v>
                </c:pt>
                <c:pt idx="331">
                  <c:v>373.84770934087157</c:v>
                </c:pt>
                <c:pt idx="332">
                  <c:v>375.92897630431889</c:v>
                </c:pt>
                <c:pt idx="333">
                  <c:v>378.01434945262264</c:v>
                </c:pt>
                <c:pt idx="334">
                  <c:v>380.10381461191986</c:v>
                </c:pt>
                <c:pt idx="335">
                  <c:v>382.1973576055604</c:v>
                </c:pt>
                <c:pt idx="336">
                  <c:v>384.29496425421752</c:v>
                </c:pt>
                <c:pt idx="337">
                  <c:v>386.39662037599777</c:v>
                </c:pt>
                <c:pt idx="338">
                  <c:v>388.50231178655082</c:v>
                </c:pt>
                <c:pt idx="339">
                  <c:v>390.61202429917893</c:v>
                </c:pt>
                <c:pt idx="340">
                  <c:v>392.72574372494597</c:v>
                </c:pt>
                <c:pt idx="341">
                  <c:v>394.84345587278608</c:v>
                </c:pt>
                <c:pt idx="342">
                  <c:v>396.96514654961214</c:v>
                </c:pt>
                <c:pt idx="343">
                  <c:v>399.09080156042364</c:v>
                </c:pt>
                <c:pt idx="344">
                  <c:v>401.22040670841454</c:v>
                </c:pt>
                <c:pt idx="345">
                  <c:v>403.35394779508039</c:v>
                </c:pt>
                <c:pt idx="346">
                  <c:v>405.49141062032538</c:v>
                </c:pt>
                <c:pt idx="347">
                  <c:v>407.63278098256893</c:v>
                </c:pt>
                <c:pt idx="348">
                  <c:v>409.77804467885187</c:v>
                </c:pt>
                <c:pt idx="349">
                  <c:v>411.92718750494231</c:v>
                </c:pt>
                <c:pt idx="350">
                  <c:v>414.0801952554412</c:v>
                </c:pt>
                <c:pt idx="351">
                  <c:v>416.23705372388736</c:v>
                </c:pt>
                <c:pt idx="352">
                  <c:v>418.39774870286237</c:v>
                </c:pt>
                <c:pt idx="353">
                  <c:v>420.56226598409489</c:v>
                </c:pt>
                <c:pt idx="354">
                  <c:v>422.73059135856465</c:v>
                </c:pt>
                <c:pt idx="355">
                  <c:v>424.90271061660616</c:v>
                </c:pt>
                <c:pt idx="356">
                  <c:v>427.07860954801197</c:v>
                </c:pt>
                <c:pt idx="357">
                  <c:v>429.25827394213553</c:v>
                </c:pt>
                <c:pt idx="358">
                  <c:v>431.44168958799366</c:v>
                </c:pt>
                <c:pt idx="359">
                  <c:v>433.62884227436888</c:v>
                </c:pt>
                <c:pt idx="360">
                  <c:v>435.8197177899109</c:v>
                </c:pt>
                <c:pt idx="361">
                  <c:v>438.01430192323818</c:v>
                </c:pt>
                <c:pt idx="362">
                  <c:v>440.21258046303882</c:v>
                </c:pt>
                <c:pt idx="363">
                  <c:v>442.41453919817116</c:v>
                </c:pt>
                <c:pt idx="364">
                  <c:v>444.62016391776393</c:v>
                </c:pt>
                <c:pt idx="365">
                  <c:v>446.82944041131623</c:v>
                </c:pt>
                <c:pt idx="366">
                  <c:v>449.04235686801997</c:v>
                </c:pt>
                <c:pt idx="367">
                  <c:v>451.25890627594663</c:v>
                </c:pt>
                <c:pt idx="368">
                  <c:v>453.4790840213027</c:v>
                </c:pt>
                <c:pt idx="369">
                  <c:v>455.70288548778672</c:v>
                </c:pt>
                <c:pt idx="370">
                  <c:v>457.93030605662022</c:v>
                </c:pt>
                <c:pt idx="371">
                  <c:v>460.1613411065785</c:v>
                </c:pt>
                <c:pt idx="372">
                  <c:v>462.3959860140215</c:v>
                </c:pt>
                <c:pt idx="373">
                  <c:v>464.63423615292464</c:v>
                </c:pt>
                <c:pt idx="374">
                  <c:v>466.87608689490946</c:v>
                </c:pt>
                <c:pt idx="375">
                  <c:v>469.12153360927442</c:v>
                </c:pt>
                <c:pt idx="376">
                  <c:v>471.37057166302554</c:v>
                </c:pt>
                <c:pt idx="377">
                  <c:v>473.62319642090694</c:v>
                </c:pt>
                <c:pt idx="378">
                  <c:v>475.8794032454316</c:v>
                </c:pt>
                <c:pt idx="379">
                  <c:v>478.13918749691175</c:v>
                </c:pt>
                <c:pt idx="380">
                  <c:v>480.40254453348945</c:v>
                </c:pt>
                <c:pt idx="381">
                  <c:v>482.66946712239582</c:v>
                </c:pt>
                <c:pt idx="382">
                  <c:v>484.93994285144049</c:v>
                </c:pt>
                <c:pt idx="383">
                  <c:v>487.21395671973005</c:v>
                </c:pt>
                <c:pt idx="384">
                  <c:v>489.49149372819176</c:v>
                </c:pt>
                <c:pt idx="385">
                  <c:v>491.77253887967589</c:v>
                </c:pt>
                <c:pt idx="386">
                  <c:v>494.05707717905739</c:v>
                </c:pt>
                <c:pt idx="387">
                  <c:v>496.34509363333717</c:v>
                </c:pt>
                <c:pt idx="388">
                  <c:v>498.63657325174296</c:v>
                </c:pt>
                <c:pt idx="389">
                  <c:v>500.93150104582969</c:v>
                </c:pt>
                <c:pt idx="390">
                  <c:v>503.22986202957929</c:v>
                </c:pt>
                <c:pt idx="391">
                  <c:v>505.53164121950022</c:v>
                </c:pt>
                <c:pt idx="392">
                  <c:v>507.83682363472639</c:v>
                </c:pt>
                <c:pt idx="393">
                  <c:v>510.14539429711579</c:v>
                </c:pt>
                <c:pt idx="394">
                  <c:v>512.45733823134844</c:v>
                </c:pt>
                <c:pt idx="395">
                  <c:v>514.77264046502398</c:v>
                </c:pt>
                <c:pt idx="396">
                  <c:v>517.09128602875876</c:v>
                </c:pt>
                <c:pt idx="397">
                  <c:v>519.41325995628256</c:v>
                </c:pt>
                <c:pt idx="398">
                  <c:v>521.73854728453477</c:v>
                </c:pt>
                <c:pt idx="399">
                  <c:v>524.06713305376013</c:v>
                </c:pt>
                <c:pt idx="400">
                  <c:v>526.39900230760372</c:v>
                </c:pt>
                <c:pt idx="401">
                  <c:v>528.73413806211443</c:v>
                </c:pt>
                <c:pt idx="402">
                  <c:v>531.07251927510788</c:v>
                </c:pt>
                <c:pt idx="403">
                  <c:v>533.4141228791741</c:v>
                </c:pt>
                <c:pt idx="404">
                  <c:v>535.75892581436199</c:v>
                </c:pt>
                <c:pt idx="405">
                  <c:v>538.10690502834689</c:v>
                </c:pt>
                <c:pt idx="406">
                  <c:v>540.45803747659727</c:v>
                </c:pt>
                <c:pt idx="407">
                  <c:v>542.81230012254025</c:v>
                </c:pt>
                <c:pt idx="408">
                  <c:v>545.16966993772633</c:v>
                </c:pt>
                <c:pt idx="409">
                  <c:v>547.53012390199262</c:v>
                </c:pt>
                <c:pt idx="410">
                  <c:v>549.89363900362548</c:v>
                </c:pt>
                <c:pt idx="411">
                  <c:v>552.26018103198612</c:v>
                </c:pt>
                <c:pt idx="412">
                  <c:v>554.62969337290951</c:v>
                </c:pt>
                <c:pt idx="413">
                  <c:v>557.00210822786096</c:v>
                </c:pt>
                <c:pt idx="414">
                  <c:v>559.37735783069593</c:v>
                </c:pt>
                <c:pt idx="415">
                  <c:v>561.75537444857139</c:v>
                </c:pt>
                <c:pt idx="416">
                  <c:v>564.13609038284937</c:v>
                </c:pt>
                <c:pt idx="417">
                  <c:v>566.51943796999171</c:v>
                </c:pt>
                <c:pt idx="418">
                  <c:v>568.90534958244734</c:v>
                </c:pt>
                <c:pt idx="419">
                  <c:v>571.29375762953032</c:v>
                </c:pt>
                <c:pt idx="420">
                  <c:v>573.6845881906446</c:v>
                </c:pt>
                <c:pt idx="421">
                  <c:v>576.07775465102941</c:v>
                </c:pt>
                <c:pt idx="422">
                  <c:v>578.47316407833478</c:v>
                </c:pt>
                <c:pt idx="423">
                  <c:v>580.87072359699778</c:v>
                </c:pt>
                <c:pt idx="424">
                  <c:v>583.27034038975228</c:v>
                </c:pt>
                <c:pt idx="425">
                  <c:v>585.67192169912312</c:v>
                </c:pt>
                <c:pt idx="426">
                  <c:v>588.0753748289053</c:v>
                </c:pt>
                <c:pt idx="427">
                  <c:v>590.48060714562678</c:v>
                </c:pt>
                <c:pt idx="428">
                  <c:v>592.88752607999595</c:v>
                </c:pt>
                <c:pt idx="429">
                  <c:v>595.29603912833375</c:v>
                </c:pt>
                <c:pt idx="430">
                  <c:v>597.70605385398972</c:v>
                </c:pt>
                <c:pt idx="431">
                  <c:v>600.11747788874231</c:v>
                </c:pt>
                <c:pt idx="432">
                  <c:v>602.53020868867725</c:v>
                </c:pt>
                <c:pt idx="433">
                  <c:v>604.94412329669422</c:v>
                </c:pt>
                <c:pt idx="434">
                  <c:v>607.35908860640905</c:v>
                </c:pt>
                <c:pt idx="435">
                  <c:v>609.77497162010548</c:v>
                </c:pt>
                <c:pt idx="436">
                  <c:v>612.19163945146909</c:v>
                </c:pt>
                <c:pt idx="437">
                  <c:v>614.60895932828953</c:v>
                </c:pt>
                <c:pt idx="438">
                  <c:v>617.02679859512921</c:v>
                </c:pt>
                <c:pt idx="439">
                  <c:v>619.44502471595956</c:v>
                </c:pt>
                <c:pt idx="440">
                  <c:v>621.86350527676416</c:v>
                </c:pt>
                <c:pt idx="441">
                  <c:v>624.28210798810926</c:v>
                </c:pt>
                <c:pt idx="442">
                  <c:v>626.70070690358762</c:v>
                </c:pt>
                <c:pt idx="443">
                  <c:v>629.11918863246638</c:v>
                </c:pt>
                <c:pt idx="444">
                  <c:v>631.53744611330728</c:v>
                </c:pt>
                <c:pt idx="445">
                  <c:v>633.95537239288728</c:v>
                </c:pt>
                <c:pt idx="446">
                  <c:v>636.37286062774899</c:v>
                </c:pt>
                <c:pt idx="447">
                  <c:v>638.78980408572988</c:v>
                </c:pt>
                <c:pt idx="448">
                  <c:v>641.20609614746934</c:v>
                </c:pt>
                <c:pt idx="449">
                  <c:v>643.62163030789486</c:v>
                </c:pt>
                <c:pt idx="450">
                  <c:v>646.03630017768614</c:v>
                </c:pt>
                <c:pt idx="451">
                  <c:v>648.44999948471843</c:v>
                </c:pt>
                <c:pt idx="452">
                  <c:v>650.86262207548396</c:v>
                </c:pt>
                <c:pt idx="453">
                  <c:v>653.27407080936712</c:v>
                </c:pt>
                <c:pt idx="454">
                  <c:v>655.68426644265503</c:v>
                </c:pt>
                <c:pt idx="455">
                  <c:v>658.09313871567701</c:v>
                </c:pt>
                <c:pt idx="456">
                  <c:v>660.50061744975415</c:v>
                </c:pt>
                <c:pt idx="457">
                  <c:v>662.90663254769652</c:v>
                </c:pt>
                <c:pt idx="458">
                  <c:v>665.31111399429153</c:v>
                </c:pt>
                <c:pt idx="459">
                  <c:v>667.71399185678308</c:v>
                </c:pt>
                <c:pt idx="460">
                  <c:v>670.11519628534199</c:v>
                </c:pt>
                <c:pt idx="461">
                  <c:v>672.51466551240173</c:v>
                </c:pt>
                <c:pt idx="462">
                  <c:v>674.9123538420082</c:v>
                </c:pt>
                <c:pt idx="463">
                  <c:v>677.30822363121274</c:v>
                </c:pt>
                <c:pt idx="464">
                  <c:v>679.70223728124336</c:v>
                </c:pt>
                <c:pt idx="465">
                  <c:v>682.09435723755632</c:v>
                </c:pt>
                <c:pt idx="466">
                  <c:v>684.48453927189655</c:v>
                </c:pt>
                <c:pt idx="467">
                  <c:v>686.87272577296505</c:v>
                </c:pt>
                <c:pt idx="468">
                  <c:v>689.25877767495854</c:v>
                </c:pt>
                <c:pt idx="469">
                  <c:v>691.6424980206607</c:v>
                </c:pt>
                <c:pt idx="470">
                  <c:v>694.02379838489708</c:v>
                </c:pt>
                <c:pt idx="471">
                  <c:v>696.4026819943565</c:v>
                </c:pt>
                <c:pt idx="472">
                  <c:v>698.77915206715682</c:v>
                </c:pt>
                <c:pt idx="473">
                  <c:v>701.15321181287482</c:v>
                </c:pt>
                <c:pt idx="474">
                  <c:v>703.52486443257601</c:v>
                </c:pt>
                <c:pt idx="475">
                  <c:v>705.89411311884464</c:v>
                </c:pt>
                <c:pt idx="476">
                  <c:v>708.26096105581303</c:v>
                </c:pt>
                <c:pt idx="477">
                  <c:v>710.62541141919132</c:v>
                </c:pt>
                <c:pt idx="478">
                  <c:v>712.98746737629676</c:v>
                </c:pt>
                <c:pt idx="479">
                  <c:v>715.34713208608298</c:v>
                </c:pt>
                <c:pt idx="480">
                  <c:v>717.70440869916888</c:v>
                </c:pt>
                <c:pt idx="481">
                  <c:v>720.05930035786787</c:v>
                </c:pt>
                <c:pt idx="482">
                  <c:v>722.41181019621661</c:v>
                </c:pt>
                <c:pt idx="483">
                  <c:v>724.76194134000377</c:v>
                </c:pt>
                <c:pt idx="484">
                  <c:v>727.10969690679872</c:v>
                </c:pt>
                <c:pt idx="485">
                  <c:v>729.45508000597977</c:v>
                </c:pt>
                <c:pt idx="486">
                  <c:v>731.79809373876265</c:v>
                </c:pt>
                <c:pt idx="487">
                  <c:v>734.13874119822879</c:v>
                </c:pt>
                <c:pt idx="488">
                  <c:v>736.47702546935329</c:v>
                </c:pt>
                <c:pt idx="489">
                  <c:v>738.81294962903314</c:v>
                </c:pt>
                <c:pt idx="490">
                  <c:v>741.14651674611468</c:v>
                </c:pt>
                <c:pt idx="491">
                  <c:v>743.47772988142162</c:v>
                </c:pt>
                <c:pt idx="492">
                  <c:v>745.80659208778275</c:v>
                </c:pt>
                <c:pt idx="493">
                  <c:v>748.1331064100591</c:v>
                </c:pt>
                <c:pt idx="494">
                  <c:v>750.4572758851715</c:v>
                </c:pt>
                <c:pt idx="495">
                  <c:v>752.77910354212781</c:v>
                </c:pt>
                <c:pt idx="496">
                  <c:v>755.09859240205014</c:v>
                </c:pt>
                <c:pt idx="497">
                  <c:v>757.41574547820176</c:v>
                </c:pt>
                <c:pt idx="498">
                  <c:v>759.73056577601392</c:v>
                </c:pt>
                <c:pt idx="499">
                  <c:v>762.04305629311273</c:v>
                </c:pt>
                <c:pt idx="500">
                  <c:v>764.35322001934594</c:v>
                </c:pt>
                <c:pt idx="501">
                  <c:v>787.32711480942896</c:v>
                </c:pt>
                <c:pt idx="502">
                  <c:v>810.07025332253977</c:v>
                </c:pt>
                <c:pt idx="503">
                  <c:v>832.58554919016797</c:v>
                </c:pt>
                <c:pt idx="504">
                  <c:v>854.87584181271234</c:v>
                </c:pt>
                <c:pt idx="505">
                  <c:v>876.94389882779831</c:v>
                </c:pt>
                <c:pt idx="506">
                  <c:v>898.79241847506535</c:v>
                </c:pt>
                <c:pt idx="507">
                  <c:v>920.42403186262084</c:v>
                </c:pt>
                <c:pt idx="508">
                  <c:v>941.84130514005267</c:v>
                </c:pt>
                <c:pt idx="509">
                  <c:v>963.04674158261003</c:v>
                </c:pt>
                <c:pt idx="510">
                  <c:v>984.04278359089744</c:v>
                </c:pt>
                <c:pt idx="511">
                  <c:v>1004.8318146101795</c:v>
                </c:pt>
                <c:pt idx="512">
                  <c:v>1025.416160973163</c:v>
                </c:pt>
                <c:pt idx="513">
                  <c:v>1045.7980936699046</c:v>
                </c:pt>
                <c:pt idx="514">
                  <c:v>1065.9798300482948</c:v>
                </c:pt>
                <c:pt idx="515">
                  <c:v>1085.9635354483714</c:v>
                </c:pt>
                <c:pt idx="516">
                  <c:v>1105.7513247735446</c:v>
                </c:pt>
                <c:pt idx="517">
                  <c:v>1125.345264001646</c:v>
                </c:pt>
                <c:pt idx="518">
                  <c:v>1144.7473716385559</c:v>
                </c:pt>
                <c:pt idx="519">
                  <c:v>1163.95962011702</c:v>
                </c:pt>
                <c:pt idx="520">
                  <c:v>1182.9839371431249</c:v>
                </c:pt>
                <c:pt idx="521">
                  <c:v>1201.8222069927738</c:v>
                </c:pt>
                <c:pt idx="522">
                  <c:v>1220.4762717603826</c:v>
                </c:pt>
                <c:pt idx="523">
                  <c:v>1238.9479325618991</c:v>
                </c:pt>
                <c:pt idx="524">
                  <c:v>1257.2389506941429</c:v>
                </c:pt>
                <c:pt idx="525">
                  <c:v>1275.3510487523606</c:v>
                </c:pt>
                <c:pt idx="526">
                  <c:v>1293.2859117077942</c:v>
                </c:pt>
                <c:pt idx="527">
                  <c:v>1311.0451879469729</c:v>
                </c:pt>
                <c:pt idx="528">
                  <c:v>1328.6304902743507</c:v>
                </c:pt>
                <c:pt idx="529">
                  <c:v>1346.0433968798325</c:v>
                </c:pt>
                <c:pt idx="530">
                  <c:v>1363.2854522726584</c:v>
                </c:pt>
                <c:pt idx="531">
                  <c:v>1380.3581681830399</c:v>
                </c:pt>
                <c:pt idx="532">
                  <c:v>1397.2630244328768</c:v>
                </c:pt>
                <c:pt idx="533">
                  <c:v>1414.0014697768204</c:v>
                </c:pt>
                <c:pt idx="534">
                  <c:v>1430.574922714886</c:v>
                </c:pt>
                <c:pt idx="535">
                  <c:v>1446.9847722777629</c:v>
                </c:pt>
                <c:pt idx="536">
                  <c:v>1463.2323787859132</c:v>
                </c:pt>
                <c:pt idx="537">
                  <c:v>1479.319074583505</c:v>
                </c:pt>
                <c:pt idx="538">
                  <c:v>1495.2461647481691</c:v>
                </c:pt>
                <c:pt idx="539">
                  <c:v>1511.0149277775311</c:v>
                </c:pt>
                <c:pt idx="540">
                  <c:v>1526.6266162534209</c:v>
                </c:pt>
                <c:pt idx="541">
                  <c:v>1542.0824574846247</c:v>
                </c:pt>
                <c:pt idx="542">
                  <c:v>1557.3836541290025</c:v>
                </c:pt>
                <c:pt idx="543">
                  <c:v>1572.5313847957589</c:v>
                </c:pt>
                <c:pt idx="544">
                  <c:v>1587.5268046286199</c:v>
                </c:pt>
                <c:pt idx="545">
                  <c:v>1602.3710458706346</c:v>
                </c:pt>
                <c:pt idx="546">
                  <c:v>1617.0652184112885</c:v>
                </c:pt>
                <c:pt idx="547">
                  <c:v>1631.610410316586</c:v>
                </c:pt>
                <c:pt idx="548">
                  <c:v>1646.0076883427314</c:v>
                </c:pt>
                <c:pt idx="549">
                  <c:v>1660.2580984340093</c:v>
                </c:pt>
                <c:pt idx="550">
                  <c:v>1674.3626662054403</c:v>
                </c:pt>
                <c:pt idx="551">
                  <c:v>1688.3223974107632</c:v>
                </c:pt>
                <c:pt idx="552">
                  <c:v>1702.1382783962722</c:v>
                </c:pt>
                <c:pt idx="553">
                  <c:v>1715.8112765410146</c:v>
                </c:pt>
                <c:pt idx="554">
                  <c:v>1729.3423406838331</c:v>
                </c:pt>
                <c:pt idx="555">
                  <c:v>1742.7324015377169</c:v>
                </c:pt>
                <c:pt idx="556">
                  <c:v>1755.9823720919085</c:v>
                </c:pt>
                <c:pt idx="557">
                  <c:v>1769.0931480021916</c:v>
                </c:pt>
                <c:pt idx="558">
                  <c:v>1782.0656079697703</c:v>
                </c:pt>
                <c:pt idx="559">
                  <c:v>1794.900614109132</c:v>
                </c:pt>
                <c:pt idx="560">
                  <c:v>1807.599012305272</c:v>
                </c:pt>
                <c:pt idx="561">
                  <c:v>1820.1616325606419</c:v>
                </c:pt>
                <c:pt idx="562">
                  <c:v>1832.5892893321686</c:v>
                </c:pt>
                <c:pt idx="563">
                  <c:v>1844.8827818586778</c:v>
                </c:pt>
                <c:pt idx="564">
                  <c:v>1857.0428944790444</c:v>
                </c:pt>
                <c:pt idx="565">
                  <c:v>1869.0703969413755</c:v>
                </c:pt>
                <c:pt idx="566">
                  <c:v>1880.9660447035249</c:v>
                </c:pt>
                <c:pt idx="567">
                  <c:v>1892.7305792252218</c:v>
                </c:pt>
                <c:pt idx="568">
                  <c:v>1904.3647282520901</c:v>
                </c:pt>
                <c:pt idx="569">
                  <c:v>1915.8692060918186</c:v>
                </c:pt>
                <c:pt idx="570">
                  <c:v>1927.2447138827386</c:v>
                </c:pt>
                <c:pt idx="571">
                  <c:v>1938.491939855051</c:v>
                </c:pt>
                <c:pt idx="572">
                  <c:v>1949.6115595849396</c:v>
                </c:pt>
                <c:pt idx="573">
                  <c:v>1960.604236241795</c:v>
                </c:pt>
                <c:pt idx="574">
                  <c:v>1971.4706208287676</c:v>
                </c:pt>
                <c:pt idx="575">
                  <c:v>1982.2113524168608</c:v>
                </c:pt>
                <c:pt idx="576">
                  <c:v>1992.8270583727649</c:v>
                </c:pt>
                <c:pt idx="577">
                  <c:v>2003.3183545806271</c:v>
                </c:pt>
                <c:pt idx="578">
                  <c:v>2013.6858456579469</c:v>
                </c:pt>
                <c:pt idx="579">
                  <c:v>2023.9301251657766</c:v>
                </c:pt>
                <c:pt idx="580">
                  <c:v>2034.0517758134029</c:v>
                </c:pt>
                <c:pt idx="581">
                  <c:v>2044.0513696576772</c:v>
                </c:pt>
                <c:pt idx="582">
                  <c:v>2053.9294682971604</c:v>
                </c:pt>
                <c:pt idx="583">
                  <c:v>2063.6866230612354</c:v>
                </c:pt>
                <c:pt idx="584">
                  <c:v>2073.3233751943421</c:v>
                </c:pt>
                <c:pt idx="585">
                  <c:v>2082.8402560354821</c:v>
                </c:pt>
                <c:pt idx="586">
                  <c:v>2092.237787193133</c:v>
                </c:pt>
                <c:pt idx="587">
                  <c:v>2101.5164807157125</c:v>
                </c:pt>
                <c:pt idx="588">
                  <c:v>2110.6768392577214</c:v>
                </c:pt>
                <c:pt idx="589">
                  <c:v>2119.7193562416974</c:v>
                </c:pt>
                <c:pt idx="590">
                  <c:v>2128.6445160161015</c:v>
                </c:pt>
                <c:pt idx="591">
                  <c:v>2137.4527940092617</c:v>
                </c:pt>
                <c:pt idx="592">
                  <c:v>2146.1446568794845</c:v>
                </c:pt>
                <c:pt idx="593">
                  <c:v>2154.7205626614541</c:v>
                </c:pt>
                <c:pt idx="594">
                  <c:v>2163.1809609090233</c:v>
                </c:pt>
                <c:pt idx="595">
                  <c:v>2171.5262928345091</c:v>
                </c:pt>
                <c:pt idx="596">
                  <c:v>2179.7569914445894</c:v>
                </c:pt>
                <c:pt idx="597">
                  <c:v>2187.8734816729075</c:v>
                </c:pt>
                <c:pt idx="598">
                  <c:v>2195.87618050948</c:v>
                </c:pt>
                <c:pt idx="599">
                  <c:v>2203.7654971270031</c:v>
                </c:pt>
                <c:pt idx="600">
                  <c:v>2211.5418330041498</c:v>
                </c:pt>
                <c:pt idx="601">
                  <c:v>2219.2055820459518</c:v>
                </c:pt>
                <c:pt idx="602">
                  <c:v>2226.7571307013504</c:v>
                </c:pt>
                <c:pt idx="603">
                  <c:v>2234.1968580780053</c:v>
                </c:pt>
                <c:pt idx="604">
                  <c:v>2241.5251360544435</c:v>
                </c:pt>
                <c:pt idx="605">
                  <c:v>2248.7423293896354</c:v>
                </c:pt>
                <c:pt idx="606">
                  <c:v>2255.8487958300743</c:v>
                </c:pt>
                <c:pt idx="607">
                  <c:v>2262.8448862144419</c:v>
                </c:pt>
                <c:pt idx="608">
                  <c:v>2269.730944575937</c:v>
                </c:pt>
                <c:pt idx="609">
                  <c:v>2276.5073082423442</c:v>
                </c:pt>
                <c:pt idx="610">
                  <c:v>2283.1743079339212</c:v>
                </c:pt>
                <c:pt idx="611">
                  <c:v>2289.732267859175</c:v>
                </c:pt>
                <c:pt idx="612">
                  <c:v>2296.1815058086063</c:v>
                </c:pt>
                <c:pt idx="613">
                  <c:v>2302.5223332464934</c:v>
                </c:pt>
                <c:pt idx="614">
                  <c:v>2308.7550554007885</c:v>
                </c:pt>
                <c:pt idx="615">
                  <c:v>2314.8799713512012</c:v>
                </c:pt>
                <c:pt idx="616">
                  <c:v>2320.8973741155405</c:v>
                </c:pt>
                <c:pt idx="617">
                  <c:v>2326.8075507343874</c:v>
                </c:pt>
                <c:pt idx="618">
                  <c:v>2332.6107823541747</c:v>
                </c:pt>
                <c:pt idx="619">
                  <c:v>2338.3073443087433</c:v>
                </c:pt>
                <c:pt idx="620">
                  <c:v>2343.897506199452</c:v>
                </c:pt>
                <c:pt idx="621">
                  <c:v>2349.3815319739124</c:v>
                </c:pt>
                <c:pt idx="622">
                  <c:v>2354.7596800034285</c:v>
                </c:pt>
                <c:pt idx="623">
                  <c:v>2360.0322031592145</c:v>
                </c:pt>
                <c:pt idx="624">
                  <c:v>2365.19934888747</c:v>
                </c:pt>
                <c:pt idx="625">
                  <c:v>2370.2613592833927</c:v>
                </c:pt>
                <c:pt idx="626">
                  <c:v>2375.2184711642089</c:v>
                </c:pt>
                <c:pt idx="627">
                  <c:v>2380.0709161413074</c:v>
                </c:pt>
                <c:pt idx="628">
                  <c:v>2384.8189206915604</c:v>
                </c:pt>
                <c:pt idx="629">
                  <c:v>2389.4627062279201</c:v>
                </c:pt>
                <c:pt idx="630">
                  <c:v>2394.0024891693834</c:v>
                </c:pt>
                <c:pt idx="631">
                  <c:v>2398.4384810104157</c:v>
                </c:pt>
                <c:pt idx="632">
                  <c:v>2402.7708883899354</c:v>
                </c:pt>
                <c:pt idx="633">
                  <c:v>2406.9999131599557</c:v>
                </c:pt>
                <c:pt idx="634">
                  <c:v>2411.1257524539892</c:v>
                </c:pt>
                <c:pt idx="635">
                  <c:v>2415.148598755326</c:v>
                </c:pt>
                <c:pt idx="636">
                  <c:v>2419.068639965295</c:v>
                </c:pt>
                <c:pt idx="637">
                  <c:v>2422.8860594716275</c:v>
                </c:pt>
                <c:pt idx="638">
                  <c:v>2426.6010362170427</c:v>
                </c:pt>
                <c:pt idx="639">
                  <c:v>2430.2137447681848</c:v>
                </c:pt>
                <c:pt idx="640">
                  <c:v>2433.7243553850403</c:v>
                </c:pt>
                <c:pt idx="641">
                  <c:v>2437.1330340909717</c:v>
                </c:pt>
                <c:pt idx="642">
                  <c:v>2440.4399427435119</c:v>
                </c:pt>
                <c:pt idx="643">
                  <c:v>2443.6452391060625</c:v>
                </c:pt>
                <c:pt idx="644">
                  <c:v>2446.7490769206502</c:v>
                </c:pt>
                <c:pt idx="645">
                  <c:v>2449.7516059818931</c:v>
                </c:pt>
                <c:pt idx="646">
                  <c:v>2452.6529722123423</c:v>
                </c:pt>
                <c:pt idx="647">
                  <c:v>2455.4533177393578</c:v>
                </c:pt>
                <c:pt idx="648">
                  <c:v>2458.152780973689</c:v>
                </c:pt>
                <c:pt idx="649">
                  <c:v>2460.7514966899312</c:v>
                </c:pt>
                <c:pt idx="650">
                  <c:v>2463.2495961090235</c:v>
                </c:pt>
                <c:pt idx="651">
                  <c:v>2465.647206982967</c:v>
                </c:pt>
                <c:pt idx="652">
                  <c:v>2467.9444536819292</c:v>
                </c:pt>
                <c:pt idx="653">
                  <c:v>2470.1414572839076</c:v>
                </c:pt>
                <c:pt idx="654">
                  <c:v>2472.2383356671121</c:v>
                </c:pt>
                <c:pt idx="655">
                  <c:v>2474.235203605228</c:v>
                </c:pt>
                <c:pt idx="656">
                  <c:v>2476.1321728657099</c:v>
                </c:pt>
                <c:pt idx="657">
                  <c:v>2477.929352311241</c:v>
                </c:pt>
                <c:pt idx="658">
                  <c:v>2479.6268480044873</c:v>
                </c:pt>
                <c:pt idx="659">
                  <c:v>2481.2247633162556</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3E62-4C97-96C4-8569A9DB8ECB}"/>
            </c:ext>
          </c:extLst>
        </c:ser>
        <c:ser>
          <c:idx val="6"/>
          <c:order val="5"/>
          <c:tx>
            <c:strRef>
              <c:f>Trajecto!$B$106</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Trajecto!$D$155</c:f>
              <c:numCache>
                <c:formatCode>0</c:formatCode>
                <c:ptCount val="1"/>
                <c:pt idx="0">
                  <c:v>227.51515763766639</c:v>
                </c:pt>
              </c:numCache>
            </c:numRef>
          </c:xVal>
          <c:yVal>
            <c:numRef>
              <c:f>Trajecto!$C$155</c:f>
              <c:numCache>
                <c:formatCode>0</c:formatCode>
                <c:ptCount val="1"/>
                <c:pt idx="0">
                  <c:v>1241.3615995185694</c:v>
                </c:pt>
              </c:numCache>
            </c:numRef>
          </c:yVal>
          <c:smooth val="0"/>
          <c:extLst>
            <c:ext xmlns:c16="http://schemas.microsoft.com/office/drawing/2014/chart" uri="{C3380CC4-5D6E-409C-BE32-E72D297353CC}">
              <c16:uniqueId val="{00000006-3E62-4C97-96C4-8569A9DB8ECB}"/>
            </c:ext>
          </c:extLst>
        </c:ser>
        <c:ser>
          <c:idx val="7"/>
          <c:order val="6"/>
          <c:tx>
            <c:strRef>
              <c:f>Trajecto!$B$107</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Trajecto!$D$156</c:f>
              <c:numCache>
                <c:formatCode>0</c:formatCode>
                <c:ptCount val="1"/>
                <c:pt idx="0">
                  <c:v>1482.353972704934</c:v>
                </c:pt>
              </c:numCache>
            </c:numRef>
          </c:xVal>
          <c:yVal>
            <c:numRef>
              <c:f>Trajecto!$C$156</c:f>
              <c:numCache>
                <c:formatCode>0</c:formatCode>
                <c:ptCount val="1"/>
                <c:pt idx="0">
                  <c:v>1246.6536483562641</c:v>
                </c:pt>
              </c:numCache>
            </c:numRef>
          </c:yVal>
          <c:smooth val="0"/>
          <c:extLst>
            <c:ext xmlns:c16="http://schemas.microsoft.com/office/drawing/2014/chart" uri="{C3380CC4-5D6E-409C-BE32-E72D297353CC}">
              <c16:uniqueId val="{00000007-3E62-4C97-96C4-8569A9DB8ECB}"/>
            </c:ext>
          </c:extLst>
        </c:ser>
        <c:ser>
          <c:idx val="8"/>
          <c:order val="7"/>
          <c:tx>
            <c:strRef>
              <c:f>Trajecto!$D$158</c:f>
              <c:strCache>
                <c:ptCount val="1"/>
                <c:pt idx="0">
                  <c:v>Arc de triomphe</c:v>
                </c:pt>
              </c:strCache>
            </c:strRef>
          </c:tx>
          <c:spPr>
            <a:ln>
              <a:solidFill>
                <a:srgbClr val="C0C0C0"/>
              </a:solidFill>
            </a:ln>
          </c:spPr>
          <c:marker>
            <c:symbol val="none"/>
          </c:marker>
          <c:dLbls>
            <c:dLbl>
              <c:idx val="8"/>
              <c:tx>
                <c:strRef>
                  <c:f>Trajecto!$D$158</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{A8F9DBC8-B629-47BF-8F3A-7BD8B1523B4D}</c15:txfldGUID>
                      <c15:f>Trajecto!$D$158</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Trajecto!$D$159:$D$174</c:f>
              <c:numCache>
                <c:formatCode>0</c:formatCode>
                <c:ptCount val="16"/>
                <c:pt idx="0">
                  <c:v>964.23948841338267</c:v>
                </c:pt>
                <c:pt idx="1">
                  <c:v>987.23948841338267</c:v>
                </c:pt>
                <c:pt idx="2">
                  <c:v>987.23948841338267</c:v>
                </c:pt>
                <c:pt idx="3">
                  <c:v>964.23948841338267</c:v>
                </c:pt>
                <c:pt idx="4">
                  <c:v>987.23948841338267</c:v>
                </c:pt>
                <c:pt idx="5">
                  <c:v>987.23948841338267</c:v>
                </c:pt>
                <c:pt idx="6">
                  <c:v>972.23948841338267</c:v>
                </c:pt>
                <c:pt idx="7">
                  <c:v>972.23948841338267</c:v>
                </c:pt>
                <c:pt idx="8">
                  <c:v>987.23948841338267</c:v>
                </c:pt>
                <c:pt idx="9">
                  <c:v>972.23948841338267</c:v>
                </c:pt>
                <c:pt idx="10">
                  <c:v>971.8394884133827</c:v>
                </c:pt>
                <c:pt idx="11">
                  <c:v>971.03948841338263</c:v>
                </c:pt>
                <c:pt idx="12">
                  <c:v>970.23948841338267</c:v>
                </c:pt>
                <c:pt idx="13">
                  <c:v>969.23948841338267</c:v>
                </c:pt>
                <c:pt idx="14">
                  <c:v>968.03948841338263</c:v>
                </c:pt>
                <c:pt idx="15">
                  <c:v>964.23948841338267</c:v>
                </c:pt>
              </c:numCache>
            </c:numRef>
          </c:xVal>
          <c:yVal>
            <c:numRef>
              <c:f>Trajecto!$B$161:$B$176</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3E62-4C97-96C4-8569A9DB8ECB}"/>
            </c:ext>
          </c:extLst>
        </c:ser>
        <c:ser>
          <c:idx val="9"/>
          <c:order val="8"/>
          <c:tx>
            <c:strRef>
              <c:f>Trajecto!$F$158</c:f>
              <c:strCache>
                <c:ptCount val="1"/>
                <c:pt idx="0">
                  <c:v>Arc de triomphe</c:v>
                </c:pt>
              </c:strCache>
            </c:strRef>
          </c:tx>
          <c:spPr>
            <a:ln>
              <a:solidFill>
                <a:srgbClr val="C0C0C0"/>
              </a:solidFill>
            </a:ln>
          </c:spPr>
          <c:marker>
            <c:symbol val="none"/>
          </c:marker>
          <c:xVal>
            <c:numRef>
              <c:f>Trajecto!$F$159:$F$174</c:f>
              <c:numCache>
                <c:formatCode>0</c:formatCode>
                <c:ptCount val="16"/>
                <c:pt idx="0">
                  <c:v>964.23948841338267</c:v>
                </c:pt>
                <c:pt idx="1">
                  <c:v>941.23948841338267</c:v>
                </c:pt>
                <c:pt idx="2">
                  <c:v>941.23948841338267</c:v>
                </c:pt>
                <c:pt idx="3">
                  <c:v>964.23948841338267</c:v>
                </c:pt>
                <c:pt idx="4">
                  <c:v>941.23948841338267</c:v>
                </c:pt>
                <c:pt idx="5">
                  <c:v>941.23948841338267</c:v>
                </c:pt>
                <c:pt idx="6">
                  <c:v>956.23948841338267</c:v>
                </c:pt>
                <c:pt idx="7">
                  <c:v>956.23948841338267</c:v>
                </c:pt>
                <c:pt idx="8">
                  <c:v>941.23948841338267</c:v>
                </c:pt>
                <c:pt idx="9">
                  <c:v>956.23948841338267</c:v>
                </c:pt>
                <c:pt idx="10">
                  <c:v>956.63948841338265</c:v>
                </c:pt>
                <c:pt idx="11">
                  <c:v>957.43948841338272</c:v>
                </c:pt>
                <c:pt idx="12">
                  <c:v>958.23948841338267</c:v>
                </c:pt>
                <c:pt idx="13">
                  <c:v>959.23948841338267</c:v>
                </c:pt>
                <c:pt idx="14">
                  <c:v>960.43948841338272</c:v>
                </c:pt>
                <c:pt idx="15">
                  <c:v>964.23948841338267</c:v>
                </c:pt>
              </c:numCache>
            </c:numRef>
          </c:xVal>
          <c:yVal>
            <c:numRef>
              <c:f>Trajecto!$B$161:$B$176</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3E62-4C97-96C4-8569A9DB8ECB}"/>
            </c:ext>
          </c:extLst>
        </c:ser>
        <c:ser>
          <c:idx val="10"/>
          <c:order val="9"/>
          <c:tx>
            <c:strRef>
              <c:f>Trajecto!$D$176</c:f>
              <c:strCache>
                <c:ptCount val="1"/>
                <c:pt idx="0">
                  <c:v>Tour Eiffel</c:v>
                </c:pt>
              </c:strCache>
            </c:strRef>
          </c:tx>
          <c:spPr>
            <a:ln>
              <a:solidFill>
                <a:srgbClr val="C0C0C0"/>
              </a:solidFill>
            </a:ln>
          </c:spPr>
          <c:marker>
            <c:symbol val="none"/>
          </c:marker>
          <c:dLbls>
            <c:dLbl>
              <c:idx val="6"/>
              <c:tx>
                <c:strRef>
                  <c:f>Trajecto!$D$176</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{915A5A13-E1F0-4A8D-8516-E413CC314F18}</c15:txfldGUID>
                      <c15:f>Trajecto!$D$176</c15:f>
                      <c15:dlblFieldTableCache>
                        <c:ptCount val="1"/>
                        <c:pt idx="0">
                          <c:v>Tour Eiffel</c:v>
                        </c:pt>
                      </c15:dlblFieldTableCache>
                    </c15:dlblFTEntry>
                  </c15:dlblFieldTable>
                  <c15:showDataLabelsRange val="0"/>
                </c:ext>
                <c:ext xmlns:c16="http://schemas.microsoft.com/office/drawing/2014/chart" uri="{C3380CC4-5D6E-409C-BE32-E72D297353CC}">
                  <c16:uniqueId val="{0000000B-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Trajecto!$D$177:$D$193</c:f>
              <c:numCache>
                <c:formatCode>0</c:formatCode>
                <c:ptCount val="17"/>
                <c:pt idx="0">
                  <c:v>964.23948841338267</c:v>
                </c:pt>
                <c:pt idx="1">
                  <c:v>964.23948841338267</c:v>
                </c:pt>
                <c:pt idx="2">
                  <c:v>974.23948841338267</c:v>
                </c:pt>
                <c:pt idx="3">
                  <c:v>964.23948841338267</c:v>
                </c:pt>
                <c:pt idx="4">
                  <c:v>974.23948841338267</c:v>
                </c:pt>
                <c:pt idx="5">
                  <c:v>977.23948841338267</c:v>
                </c:pt>
                <c:pt idx="6">
                  <c:v>981.23948841338267</c:v>
                </c:pt>
                <c:pt idx="7">
                  <c:v>984.23948841338267</c:v>
                </c:pt>
                <c:pt idx="8">
                  <c:v>989.23948841338267</c:v>
                </c:pt>
                <c:pt idx="9">
                  <c:v>994.23948841338267</c:v>
                </c:pt>
                <c:pt idx="10">
                  <c:v>1000.2394884133827</c:v>
                </c:pt>
                <c:pt idx="11">
                  <c:v>1012.2394884133827</c:v>
                </c:pt>
                <c:pt idx="12">
                  <c:v>1026.2394884133828</c:v>
                </c:pt>
                <c:pt idx="13">
                  <c:v>1001.2394884133827</c:v>
                </c:pt>
                <c:pt idx="14">
                  <c:v>994.23948841338267</c:v>
                </c:pt>
                <c:pt idx="15">
                  <c:v>979.23948841338267</c:v>
                </c:pt>
                <c:pt idx="16">
                  <c:v>964.23948841338267</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3E62-4C97-96C4-8569A9DB8ECB}"/>
            </c:ext>
          </c:extLst>
        </c:ser>
        <c:ser>
          <c:idx val="11"/>
          <c:order val="10"/>
          <c:tx>
            <c:strRef>
              <c:f>Trajecto!$F$176</c:f>
              <c:strCache>
                <c:ptCount val="1"/>
                <c:pt idx="0">
                  <c:v>Tour Eiffel</c:v>
                </c:pt>
              </c:strCache>
            </c:strRef>
          </c:tx>
          <c:spPr>
            <a:ln>
              <a:solidFill>
                <a:srgbClr val="C0C0C0"/>
              </a:solidFill>
            </a:ln>
          </c:spPr>
          <c:marker>
            <c:symbol val="none"/>
          </c:marker>
          <c:xVal>
            <c:numRef>
              <c:f>Trajecto!$F$177:$F$193</c:f>
              <c:numCache>
                <c:formatCode>0</c:formatCode>
                <c:ptCount val="17"/>
                <c:pt idx="0">
                  <c:v>964.23948841338267</c:v>
                </c:pt>
                <c:pt idx="1">
                  <c:v>964.23948841338267</c:v>
                </c:pt>
                <c:pt idx="2">
                  <c:v>954.23948841338267</c:v>
                </c:pt>
                <c:pt idx="3">
                  <c:v>964.23948841338267</c:v>
                </c:pt>
                <c:pt idx="4">
                  <c:v>954.23948841338267</c:v>
                </c:pt>
                <c:pt idx="5">
                  <c:v>951.23948841338267</c:v>
                </c:pt>
                <c:pt idx="6">
                  <c:v>947.23948841338267</c:v>
                </c:pt>
                <c:pt idx="7">
                  <c:v>944.23948841338267</c:v>
                </c:pt>
                <c:pt idx="8">
                  <c:v>939.23948841338267</c:v>
                </c:pt>
                <c:pt idx="9">
                  <c:v>934.23948841338267</c:v>
                </c:pt>
                <c:pt idx="10">
                  <c:v>928.23948841338267</c:v>
                </c:pt>
                <c:pt idx="11">
                  <c:v>916.23948841338267</c:v>
                </c:pt>
                <c:pt idx="12">
                  <c:v>902.23948841338267</c:v>
                </c:pt>
                <c:pt idx="13">
                  <c:v>927.23948841338267</c:v>
                </c:pt>
                <c:pt idx="14">
                  <c:v>934.23948841338267</c:v>
                </c:pt>
                <c:pt idx="15">
                  <c:v>949.23948841338267</c:v>
                </c:pt>
                <c:pt idx="16">
                  <c:v>964.23948841338267</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3E62-4C97-96C4-8569A9DB8ECB}"/>
            </c:ext>
          </c:extLst>
        </c:ser>
        <c:ser>
          <c:idx val="12"/>
          <c:order val="11"/>
          <c:tx>
            <c:strRef>
              <c:f>Trajecto!$D$176</c:f>
              <c:strCache>
                <c:ptCount val="1"/>
                <c:pt idx="0">
                  <c:v>Tour Eiffel</c:v>
                </c:pt>
              </c:strCache>
            </c:strRef>
          </c:tx>
          <c:spPr>
            <a:ln>
              <a:solidFill>
                <a:srgbClr val="C0C0C0"/>
              </a:solidFill>
            </a:ln>
          </c:spPr>
          <c:marker>
            <c:symbol val="none"/>
          </c:marker>
          <c:xVal>
            <c:numRef>
              <c:f>Trajecto!$D$194:$D$197</c:f>
              <c:numCache>
                <c:formatCode>0</c:formatCode>
                <c:ptCount val="4"/>
                <c:pt idx="0">
                  <c:v>964.23948841338267</c:v>
                </c:pt>
                <c:pt idx="1">
                  <c:v>981.23948841338267</c:v>
                </c:pt>
                <c:pt idx="2">
                  <c:v>975.23948841338267</c:v>
                </c:pt>
                <c:pt idx="3">
                  <c:v>964.23948841338267</c:v>
                </c:pt>
              </c:numCache>
            </c:numRef>
          </c:xVal>
          <c:yVal>
            <c:numRef>
              <c:f>Trajecto!$B$196:$B$199</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3E62-4C97-96C4-8569A9DB8ECB}"/>
            </c:ext>
          </c:extLst>
        </c:ser>
        <c:ser>
          <c:idx val="13"/>
          <c:order val="12"/>
          <c:tx>
            <c:strRef>
              <c:f>Trajecto!$F$176</c:f>
              <c:strCache>
                <c:ptCount val="1"/>
                <c:pt idx="0">
                  <c:v>Tour Eiffel</c:v>
                </c:pt>
              </c:strCache>
            </c:strRef>
          </c:tx>
          <c:spPr>
            <a:ln>
              <a:solidFill>
                <a:srgbClr val="C0C0C0"/>
              </a:solidFill>
            </a:ln>
          </c:spPr>
          <c:marker>
            <c:symbol val="none"/>
          </c:marker>
          <c:xVal>
            <c:numRef>
              <c:f>Trajecto!$F$194:$F$197</c:f>
              <c:numCache>
                <c:formatCode>0</c:formatCode>
                <c:ptCount val="4"/>
                <c:pt idx="0">
                  <c:v>964.23948841338267</c:v>
                </c:pt>
                <c:pt idx="1">
                  <c:v>947.23948841338267</c:v>
                </c:pt>
                <c:pt idx="2">
                  <c:v>953.23948841338267</c:v>
                </c:pt>
                <c:pt idx="3">
                  <c:v>964.23948841338267</c:v>
                </c:pt>
              </c:numCache>
            </c:numRef>
          </c:xVal>
          <c:yVal>
            <c:numRef>
              <c:f>Trajecto!$B$196:$B$199</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3E62-4C97-96C4-8569A9DB8ECB}"/>
            </c:ext>
          </c:extLst>
        </c:ser>
        <c:ser>
          <c:idx val="3"/>
          <c:order val="13"/>
          <c:tx>
            <c:strRef>
              <c:f>Trajecto!$B$108</c:f>
              <c:strCache>
                <c:ptCount val="1"/>
                <c:pt idx="0">
                  <c:v>Fusée sous parachute</c:v>
                </c:pt>
              </c:strCache>
            </c:strRef>
          </c:tx>
          <c:spPr>
            <a:ln>
              <a:solidFill>
                <a:srgbClr val="008000"/>
              </a:solidFill>
            </a:ln>
          </c:spPr>
          <c:marker>
            <c:symbol val="none"/>
          </c:marker>
          <c:dLbls>
            <c:dLbl>
              <c:idx val="1"/>
              <c:tx>
                <c:strRef>
                  <c:f>Trajecto!$B$108</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{B4168954-991E-4115-85CF-0E04F9993AD2}</c15:txfldGUID>
                      <c15:f>Trajecto!$B$108</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Trajecto!$B$123:$B$129</c:f>
              <c:numCache>
                <c:formatCode>0</c:formatCode>
                <c:ptCount val="7"/>
                <c:pt idx="0">
                  <c:v>910.06063055066556</c:v>
                </c:pt>
                <c:pt idx="1">
                  <c:v>910.06063055066556</c:v>
                </c:pt>
                <c:pt idx="2">
                  <c:v>910.06063055066556</c:v>
                </c:pt>
                <c:pt idx="3">
                  <c:v>972.12871052659398</c:v>
                </c:pt>
                <c:pt idx="4">
                  <c:v>910.06063055066556</c:v>
                </c:pt>
                <c:pt idx="5">
                  <c:v>847.99255057473715</c:v>
                </c:pt>
                <c:pt idx="6">
                  <c:v>910.06063055066556</c:v>
                </c:pt>
              </c:numCache>
            </c:numRef>
          </c:xVal>
          <c:yVal>
            <c:numRef>
              <c:f>Trajecto!$C$121:$C$127</c:f>
              <c:numCache>
                <c:formatCode>0</c:formatCode>
                <c:ptCount val="7"/>
                <c:pt idx="0">
                  <c:v>2482.7231990371388</c:v>
                </c:pt>
                <c:pt idx="1">
                  <c:v>1241.3615995185694</c:v>
                </c:pt>
                <c:pt idx="2">
                  <c:v>0</c:v>
                </c:pt>
                <c:pt idx="3">
                  <c:v>124.13615995185694</c:v>
                </c:pt>
                <c:pt idx="4">
                  <c:v>0</c:v>
                </c:pt>
                <c:pt idx="5">
                  <c:v>124.13615995185694</c:v>
                </c:pt>
                <c:pt idx="6" formatCode="General">
                  <c:v>0</c:v>
                </c:pt>
              </c:numCache>
            </c:numRef>
          </c:yVal>
          <c:smooth val="0"/>
          <c:extLst>
            <c:ext xmlns:c16="http://schemas.microsoft.com/office/drawing/2014/chart" uri="{C3380CC4-5D6E-409C-BE32-E72D297353CC}">
              <c16:uniqueId val="{00000011-3E62-4C97-96C4-8569A9DB8ECB}"/>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Trajecto!$B$111</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Trajecto!$B$113</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Trajecto!$B$120</c:f>
              <c:numCache>
                <c:formatCode>0</c:formatCode>
                <c:ptCount val="1"/>
                <c:pt idx="0">
                  <c:v>2493.3072967125281</c:v>
                </c:pt>
              </c:numCache>
            </c:numRef>
          </c:yVal>
          <c:smooth val="0"/>
          <c:extLst>
            <c:ext xmlns:c16="http://schemas.microsoft.com/office/drawing/2014/chart" uri="{C3380CC4-5D6E-409C-BE32-E72D297353CC}">
              <c16:uniqueId val="{00000000-AEC5-4DB4-900B-02E79FDE56EC}"/>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2.0000000000000013</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2.99999999999998</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3.9999999999999587</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4.9999999999999378</c:v>
                </c:pt>
                <c:pt idx="501">
                  <c:v>#N/A</c:v>
                </c:pt>
                <c:pt idx="502">
                  <c:v>#N/A</c:v>
                </c:pt>
                <c:pt idx="503">
                  <c:v>#N/A</c:v>
                </c:pt>
                <c:pt idx="504">
                  <c:v>#N/A</c:v>
                </c:pt>
                <c:pt idx="505">
                  <c:v>#N/A</c:v>
                </c:pt>
                <c:pt idx="506">
                  <c:v>#N/A</c:v>
                </c:pt>
                <c:pt idx="507">
                  <c:v>#N/A</c:v>
                </c:pt>
                <c:pt idx="508">
                  <c:v>#N/A</c:v>
                </c:pt>
                <c:pt idx="509">
                  <c:v>#N/A</c:v>
                </c:pt>
                <c:pt idx="510">
                  <c:v>5.9999999999999343</c:v>
                </c:pt>
                <c:pt idx="511">
                  <c:v>#N/A</c:v>
                </c:pt>
                <c:pt idx="512">
                  <c:v>#N/A</c:v>
                </c:pt>
                <c:pt idx="513">
                  <c:v>#N/A</c:v>
                </c:pt>
                <c:pt idx="514">
                  <c:v>#N/A</c:v>
                </c:pt>
                <c:pt idx="515">
                  <c:v>#N/A</c:v>
                </c:pt>
                <c:pt idx="516">
                  <c:v>#N/A</c:v>
                </c:pt>
                <c:pt idx="517">
                  <c:v>#N/A</c:v>
                </c:pt>
                <c:pt idx="518">
                  <c:v>#N/A</c:v>
                </c:pt>
                <c:pt idx="519">
                  <c:v>#N/A</c:v>
                </c:pt>
                <c:pt idx="520">
                  <c:v>6.9999999999999307</c:v>
                </c:pt>
                <c:pt idx="521">
                  <c:v>#N/A</c:v>
                </c:pt>
                <c:pt idx="522">
                  <c:v>#N/A</c:v>
                </c:pt>
                <c:pt idx="523">
                  <c:v>#N/A</c:v>
                </c:pt>
                <c:pt idx="524">
                  <c:v>#N/A</c:v>
                </c:pt>
                <c:pt idx="525">
                  <c:v>#N/A</c:v>
                </c:pt>
                <c:pt idx="526">
                  <c:v>#N/A</c:v>
                </c:pt>
                <c:pt idx="527">
                  <c:v>#N/A</c:v>
                </c:pt>
                <c:pt idx="528">
                  <c:v>#N/A</c:v>
                </c:pt>
                <c:pt idx="529">
                  <c:v>#N/A</c:v>
                </c:pt>
                <c:pt idx="530">
                  <c:v>7.9999999999999272</c:v>
                </c:pt>
                <c:pt idx="531">
                  <c:v>#N/A</c:v>
                </c:pt>
                <c:pt idx="532">
                  <c:v>#N/A</c:v>
                </c:pt>
                <c:pt idx="533">
                  <c:v>#N/A</c:v>
                </c:pt>
                <c:pt idx="534">
                  <c:v>#N/A</c:v>
                </c:pt>
                <c:pt idx="535">
                  <c:v>#N/A</c:v>
                </c:pt>
                <c:pt idx="536">
                  <c:v>#N/A</c:v>
                </c:pt>
                <c:pt idx="537">
                  <c:v>#N/A</c:v>
                </c:pt>
                <c:pt idx="538">
                  <c:v>#N/A</c:v>
                </c:pt>
                <c:pt idx="539">
                  <c:v>#N/A</c:v>
                </c:pt>
                <c:pt idx="540">
                  <c:v>8.9999999999999236</c:v>
                </c:pt>
                <c:pt idx="541">
                  <c:v>#N/A</c:v>
                </c:pt>
                <c:pt idx="542">
                  <c:v>#N/A</c:v>
                </c:pt>
                <c:pt idx="543">
                  <c:v>#N/A</c:v>
                </c:pt>
                <c:pt idx="544">
                  <c:v>#N/A</c:v>
                </c:pt>
                <c:pt idx="545">
                  <c:v>#N/A</c:v>
                </c:pt>
                <c:pt idx="546">
                  <c:v>#N/A</c:v>
                </c:pt>
                <c:pt idx="547">
                  <c:v>#N/A</c:v>
                </c:pt>
                <c:pt idx="548">
                  <c:v>#N/A</c:v>
                </c:pt>
                <c:pt idx="549">
                  <c:v>#N/A</c:v>
                </c:pt>
                <c:pt idx="550">
                  <c:v>9.9999999999999201</c:v>
                </c:pt>
                <c:pt idx="551">
                  <c:v>#N/A</c:v>
                </c:pt>
                <c:pt idx="552">
                  <c:v>#N/A</c:v>
                </c:pt>
                <c:pt idx="553">
                  <c:v>#N/A</c:v>
                </c:pt>
                <c:pt idx="554">
                  <c:v>#N/A</c:v>
                </c:pt>
                <c:pt idx="555">
                  <c:v>#N/A</c:v>
                </c:pt>
                <c:pt idx="556">
                  <c:v>#N/A</c:v>
                </c:pt>
                <c:pt idx="557">
                  <c:v>#N/A</c:v>
                </c:pt>
                <c:pt idx="558">
                  <c:v>#N/A</c:v>
                </c:pt>
                <c:pt idx="559">
                  <c:v>#N/A</c:v>
                </c:pt>
                <c:pt idx="560">
                  <c:v>10.999999999999917</c:v>
                </c:pt>
                <c:pt idx="561">
                  <c:v>#N/A</c:v>
                </c:pt>
                <c:pt idx="562">
                  <c:v>#N/A</c:v>
                </c:pt>
                <c:pt idx="563">
                  <c:v>#N/A</c:v>
                </c:pt>
                <c:pt idx="564">
                  <c:v>#N/A</c:v>
                </c:pt>
                <c:pt idx="565">
                  <c:v>#N/A</c:v>
                </c:pt>
                <c:pt idx="566">
                  <c:v>#N/A</c:v>
                </c:pt>
                <c:pt idx="567">
                  <c:v>#N/A</c:v>
                </c:pt>
                <c:pt idx="568">
                  <c:v>#N/A</c:v>
                </c:pt>
                <c:pt idx="569">
                  <c:v>#N/A</c:v>
                </c:pt>
                <c:pt idx="570">
                  <c:v>11.999999999999913</c:v>
                </c:pt>
                <c:pt idx="571">
                  <c:v>#N/A</c:v>
                </c:pt>
                <c:pt idx="572">
                  <c:v>#N/A</c:v>
                </c:pt>
                <c:pt idx="573">
                  <c:v>#N/A</c:v>
                </c:pt>
                <c:pt idx="574">
                  <c:v>#N/A</c:v>
                </c:pt>
                <c:pt idx="575">
                  <c:v>#N/A</c:v>
                </c:pt>
                <c:pt idx="576">
                  <c:v>#N/A</c:v>
                </c:pt>
                <c:pt idx="577">
                  <c:v>#N/A</c:v>
                </c:pt>
                <c:pt idx="578">
                  <c:v>#N/A</c:v>
                </c:pt>
                <c:pt idx="579">
                  <c:v>#N/A</c:v>
                </c:pt>
                <c:pt idx="580">
                  <c:v>12.999999999999909</c:v>
                </c:pt>
                <c:pt idx="581">
                  <c:v>#N/A</c:v>
                </c:pt>
                <c:pt idx="582">
                  <c:v>#N/A</c:v>
                </c:pt>
                <c:pt idx="583">
                  <c:v>#N/A</c:v>
                </c:pt>
                <c:pt idx="584">
                  <c:v>#N/A</c:v>
                </c:pt>
                <c:pt idx="585">
                  <c:v>#N/A</c:v>
                </c:pt>
                <c:pt idx="586">
                  <c:v>#N/A</c:v>
                </c:pt>
                <c:pt idx="587">
                  <c:v>#N/A</c:v>
                </c:pt>
                <c:pt idx="588">
                  <c:v>#N/A</c:v>
                </c:pt>
                <c:pt idx="589">
                  <c:v>#N/A</c:v>
                </c:pt>
                <c:pt idx="590">
                  <c:v>13.999999999999906</c:v>
                </c:pt>
                <c:pt idx="591">
                  <c:v>#N/A</c:v>
                </c:pt>
                <c:pt idx="592">
                  <c:v>#N/A</c:v>
                </c:pt>
                <c:pt idx="593">
                  <c:v>#N/A</c:v>
                </c:pt>
                <c:pt idx="594">
                  <c:v>#N/A</c:v>
                </c:pt>
                <c:pt idx="595">
                  <c:v>#N/A</c:v>
                </c:pt>
                <c:pt idx="596">
                  <c:v>#N/A</c:v>
                </c:pt>
                <c:pt idx="597">
                  <c:v>#N/A</c:v>
                </c:pt>
                <c:pt idx="598">
                  <c:v>#N/A</c:v>
                </c:pt>
                <c:pt idx="599">
                  <c:v>#N/A</c:v>
                </c:pt>
                <c:pt idx="600">
                  <c:v>14.999999999999902</c:v>
                </c:pt>
                <c:pt idx="601">
                  <c:v>#N/A</c:v>
                </c:pt>
                <c:pt idx="602">
                  <c:v>#N/A</c:v>
                </c:pt>
                <c:pt idx="603">
                  <c:v>#N/A</c:v>
                </c:pt>
                <c:pt idx="604">
                  <c:v>#N/A</c:v>
                </c:pt>
                <c:pt idx="605">
                  <c:v>#N/A</c:v>
                </c:pt>
                <c:pt idx="606">
                  <c:v>#N/A</c:v>
                </c:pt>
                <c:pt idx="607">
                  <c:v>#N/A</c:v>
                </c:pt>
                <c:pt idx="608">
                  <c:v>#N/A</c:v>
                </c:pt>
                <c:pt idx="609">
                  <c:v>#N/A</c:v>
                </c:pt>
                <c:pt idx="610">
                  <c:v>15.999999999999899</c:v>
                </c:pt>
                <c:pt idx="611">
                  <c:v>#N/A</c:v>
                </c:pt>
                <c:pt idx="612">
                  <c:v>#N/A</c:v>
                </c:pt>
                <c:pt idx="613">
                  <c:v>#N/A</c:v>
                </c:pt>
                <c:pt idx="614">
                  <c:v>#N/A</c:v>
                </c:pt>
                <c:pt idx="615">
                  <c:v>#N/A</c:v>
                </c:pt>
                <c:pt idx="616">
                  <c:v>#N/A</c:v>
                </c:pt>
                <c:pt idx="617">
                  <c:v>#N/A</c:v>
                </c:pt>
                <c:pt idx="618">
                  <c:v>#N/A</c:v>
                </c:pt>
                <c:pt idx="619">
                  <c:v>#N/A</c:v>
                </c:pt>
                <c:pt idx="620">
                  <c:v>16.999999999999911</c:v>
                </c:pt>
                <c:pt idx="621">
                  <c:v>#N/A</c:v>
                </c:pt>
                <c:pt idx="622">
                  <c:v>#N/A</c:v>
                </c:pt>
                <c:pt idx="623">
                  <c:v>#N/A</c:v>
                </c:pt>
                <c:pt idx="624">
                  <c:v>#N/A</c:v>
                </c:pt>
                <c:pt idx="625">
                  <c:v>#N/A</c:v>
                </c:pt>
                <c:pt idx="626">
                  <c:v>#N/A</c:v>
                </c:pt>
                <c:pt idx="627">
                  <c:v>#N/A</c:v>
                </c:pt>
                <c:pt idx="628">
                  <c:v>#N/A</c:v>
                </c:pt>
                <c:pt idx="629">
                  <c:v>#N/A</c:v>
                </c:pt>
                <c:pt idx="630">
                  <c:v>17.999999999999925</c:v>
                </c:pt>
                <c:pt idx="631">
                  <c:v>#N/A</c:v>
                </c:pt>
                <c:pt idx="632">
                  <c:v>#N/A</c:v>
                </c:pt>
                <c:pt idx="633">
                  <c:v>#N/A</c:v>
                </c:pt>
                <c:pt idx="634">
                  <c:v>#N/A</c:v>
                </c:pt>
                <c:pt idx="635">
                  <c:v>#N/A</c:v>
                </c:pt>
                <c:pt idx="636">
                  <c:v>#N/A</c:v>
                </c:pt>
                <c:pt idx="637">
                  <c:v>#N/A</c:v>
                </c:pt>
                <c:pt idx="638">
                  <c:v>#N/A</c:v>
                </c:pt>
                <c:pt idx="639">
                  <c:v>#N/A</c:v>
                </c:pt>
                <c:pt idx="640">
                  <c:v>18.99999999999994</c:v>
                </c:pt>
                <c:pt idx="641">
                  <c:v>#N/A</c:v>
                </c:pt>
                <c:pt idx="642">
                  <c:v>#N/A</c:v>
                </c:pt>
                <c:pt idx="643">
                  <c:v>#N/A</c:v>
                </c:pt>
                <c:pt idx="644">
                  <c:v>#N/A</c:v>
                </c:pt>
                <c:pt idx="645">
                  <c:v>#N/A</c:v>
                </c:pt>
                <c:pt idx="646">
                  <c:v>#N/A</c:v>
                </c:pt>
                <c:pt idx="647">
                  <c:v>#N/A</c:v>
                </c:pt>
                <c:pt idx="648">
                  <c:v>#N/A</c:v>
                </c:pt>
                <c:pt idx="649">
                  <c:v>#N/A</c:v>
                </c:pt>
                <c:pt idx="650">
                  <c:v>19.999999999999954</c:v>
                </c:pt>
                <c:pt idx="651">
                  <c:v>#N/A</c:v>
                </c:pt>
                <c:pt idx="652">
                  <c:v>#N/A</c:v>
                </c:pt>
                <c:pt idx="653">
                  <c:v>#N/A</c:v>
                </c:pt>
                <c:pt idx="654">
                  <c:v>#N/A</c:v>
                </c:pt>
                <c:pt idx="655">
                  <c:v>#N/A</c:v>
                </c:pt>
                <c:pt idx="656">
                  <c:v>#N/A</c:v>
                </c:pt>
                <c:pt idx="657">
                  <c:v>#N/A</c:v>
                </c:pt>
                <c:pt idx="658">
                  <c:v>#N/A</c:v>
                </c:pt>
                <c:pt idx="659">
                  <c:v>#N/A</c:v>
                </c:pt>
                <c:pt idx="660">
                  <c:v>20.999999999999968</c:v>
                </c:pt>
                <c:pt idx="661">
                  <c:v>#N/A</c:v>
                </c:pt>
                <c:pt idx="662">
                  <c:v>#N/A</c:v>
                </c:pt>
                <c:pt idx="663">
                  <c:v>#N/A</c:v>
                </c:pt>
                <c:pt idx="664">
                  <c:v>#N/A</c:v>
                </c:pt>
                <c:pt idx="665">
                  <c:v>#N/A</c:v>
                </c:pt>
                <c:pt idx="666">
                  <c:v>#N/A</c:v>
                </c:pt>
                <c:pt idx="667">
                  <c:v>#N/A</c:v>
                </c:pt>
                <c:pt idx="668">
                  <c:v>#N/A</c:v>
                </c:pt>
                <c:pt idx="669">
                  <c:v>#N/A</c:v>
                </c:pt>
                <c:pt idx="670">
                  <c:v>21.999999999999982</c:v>
                </c:pt>
                <c:pt idx="671">
                  <c:v>#N/A</c:v>
                </c:pt>
                <c:pt idx="672">
                  <c:v>#N/A</c:v>
                </c:pt>
                <c:pt idx="673">
                  <c:v>#N/A</c:v>
                </c:pt>
                <c:pt idx="674">
                  <c:v>#N/A</c:v>
                </c:pt>
                <c:pt idx="675">
                  <c:v>#N/A</c:v>
                </c:pt>
                <c:pt idx="676">
                  <c:v>#N/A</c:v>
                </c:pt>
                <c:pt idx="677">
                  <c:v>#N/A</c:v>
                </c:pt>
                <c:pt idx="678">
                  <c:v>#N/A</c:v>
                </c:pt>
                <c:pt idx="679">
                  <c:v>#N/A</c:v>
                </c:pt>
                <c:pt idx="680">
                  <c:v>22.999999999999996</c:v>
                </c:pt>
                <c:pt idx="681">
                  <c:v>#N/A</c:v>
                </c:pt>
                <c:pt idx="682">
                  <c:v>#N/A</c:v>
                </c:pt>
                <c:pt idx="683">
                  <c:v>#N/A</c:v>
                </c:pt>
                <c:pt idx="684">
                  <c:v>#N/A</c:v>
                </c:pt>
                <c:pt idx="685">
                  <c:v>#N/A</c:v>
                </c:pt>
                <c:pt idx="686">
                  <c:v>#N/A</c:v>
                </c:pt>
                <c:pt idx="687">
                  <c:v>#N/A</c:v>
                </c:pt>
                <c:pt idx="688">
                  <c:v>#N/A</c:v>
                </c:pt>
                <c:pt idx="689">
                  <c:v>#N/A</c:v>
                </c:pt>
                <c:pt idx="690">
                  <c:v>24.000000000000011</c:v>
                </c:pt>
                <c:pt idx="691">
                  <c:v>#N/A</c:v>
                </c:pt>
                <c:pt idx="692">
                  <c:v>#N/A</c:v>
                </c:pt>
                <c:pt idx="693">
                  <c:v>#N/A</c:v>
                </c:pt>
                <c:pt idx="694">
                  <c:v>#N/A</c:v>
                </c:pt>
                <c:pt idx="695">
                  <c:v>#N/A</c:v>
                </c:pt>
                <c:pt idx="696">
                  <c:v>#N/A</c:v>
                </c:pt>
                <c:pt idx="697">
                  <c:v>#N/A</c:v>
                </c:pt>
                <c:pt idx="698">
                  <c:v>#N/A</c:v>
                </c:pt>
                <c:pt idx="699">
                  <c:v>#N/A</c:v>
                </c:pt>
                <c:pt idx="700">
                  <c:v>25.000000000000025</c:v>
                </c:pt>
                <c:pt idx="701">
                  <c:v>#N/A</c:v>
                </c:pt>
                <c:pt idx="702">
                  <c:v>#N/A</c:v>
                </c:pt>
                <c:pt idx="703">
                  <c:v>#N/A</c:v>
                </c:pt>
                <c:pt idx="704">
                  <c:v>#N/A</c:v>
                </c:pt>
                <c:pt idx="705">
                  <c:v>#N/A</c:v>
                </c:pt>
                <c:pt idx="706">
                  <c:v>#N/A</c:v>
                </c:pt>
                <c:pt idx="707">
                  <c:v>#N/A</c:v>
                </c:pt>
                <c:pt idx="708">
                  <c:v>#N/A</c:v>
                </c:pt>
                <c:pt idx="709">
                  <c:v>#N/A</c:v>
                </c:pt>
                <c:pt idx="710">
                  <c:v>26.000000000000039</c:v>
                </c:pt>
                <c:pt idx="711">
                  <c:v>#N/A</c:v>
                </c:pt>
                <c:pt idx="712">
                  <c:v>#N/A</c:v>
                </c:pt>
                <c:pt idx="713">
                  <c:v>#N/A</c:v>
                </c:pt>
                <c:pt idx="714">
                  <c:v>#N/A</c:v>
                </c:pt>
                <c:pt idx="715">
                  <c:v>#N/A</c:v>
                </c:pt>
                <c:pt idx="716">
                  <c:v>#N/A</c:v>
                </c:pt>
                <c:pt idx="717">
                  <c:v>#N/A</c:v>
                </c:pt>
                <c:pt idx="718">
                  <c:v>#N/A</c:v>
                </c:pt>
                <c:pt idx="719">
                  <c:v>#N/A</c:v>
                </c:pt>
                <c:pt idx="720">
                  <c:v>27.000000000000053</c:v>
                </c:pt>
                <c:pt idx="721">
                  <c:v>#N/A</c:v>
                </c:pt>
                <c:pt idx="722">
                  <c:v>#N/A</c:v>
                </c:pt>
                <c:pt idx="723">
                  <c:v>#N/A</c:v>
                </c:pt>
                <c:pt idx="724">
                  <c:v>#N/A</c:v>
                </c:pt>
                <c:pt idx="725">
                  <c:v>#N/A</c:v>
                </c:pt>
                <c:pt idx="726">
                  <c:v>#N/A</c:v>
                </c:pt>
                <c:pt idx="727">
                  <c:v>#N/A</c:v>
                </c:pt>
                <c:pt idx="728">
                  <c:v>#N/A</c:v>
                </c:pt>
                <c:pt idx="729">
                  <c:v>#N/A</c:v>
                </c:pt>
                <c:pt idx="730">
                  <c:v>28.000000000000068</c:v>
                </c:pt>
                <c:pt idx="731">
                  <c:v>#N/A</c:v>
                </c:pt>
                <c:pt idx="732">
                  <c:v>#N/A</c:v>
                </c:pt>
                <c:pt idx="733">
                  <c:v>#N/A</c:v>
                </c:pt>
                <c:pt idx="734">
                  <c:v>#N/A</c:v>
                </c:pt>
                <c:pt idx="735">
                  <c:v>#N/A</c:v>
                </c:pt>
                <c:pt idx="736">
                  <c:v>#N/A</c:v>
                </c:pt>
                <c:pt idx="737">
                  <c:v>#N/A</c:v>
                </c:pt>
                <c:pt idx="738">
                  <c:v>#N/A</c:v>
                </c:pt>
                <c:pt idx="739">
                  <c:v>#N/A</c:v>
                </c:pt>
                <c:pt idx="740">
                  <c:v>29.000000000000082</c:v>
                </c:pt>
                <c:pt idx="741">
                  <c:v>#N/A</c:v>
                </c:pt>
                <c:pt idx="742">
                  <c:v>#N/A</c:v>
                </c:pt>
                <c:pt idx="743">
                  <c:v>#N/A</c:v>
                </c:pt>
                <c:pt idx="744">
                  <c:v>#N/A</c:v>
                </c:pt>
                <c:pt idx="745">
                  <c:v>#N/A</c:v>
                </c:pt>
                <c:pt idx="746">
                  <c:v>#N/A</c:v>
                </c:pt>
                <c:pt idx="747">
                  <c:v>#N/A</c:v>
                </c:pt>
                <c:pt idx="748">
                  <c:v>#N/A</c:v>
                </c:pt>
                <c:pt idx="749">
                  <c:v>#N/A</c:v>
                </c:pt>
                <c:pt idx="750">
                  <c:v>30.000000000000096</c:v>
                </c:pt>
                <c:pt idx="751">
                  <c:v>#N/A</c:v>
                </c:pt>
                <c:pt idx="752">
                  <c:v>#N/A</c:v>
                </c:pt>
                <c:pt idx="753">
                  <c:v>#N/A</c:v>
                </c:pt>
                <c:pt idx="754">
                  <c:v>#N/A</c:v>
                </c:pt>
                <c:pt idx="755">
                  <c:v>#N/A</c:v>
                </c:pt>
                <c:pt idx="756">
                  <c:v>#N/A</c:v>
                </c:pt>
                <c:pt idx="757">
                  <c:v>#N/A</c:v>
                </c:pt>
                <c:pt idx="758">
                  <c:v>#N/A</c:v>
                </c:pt>
                <c:pt idx="759">
                  <c:v>#N/A</c:v>
                </c:pt>
                <c:pt idx="760">
                  <c:v>31.00000000000011</c:v>
                </c:pt>
                <c:pt idx="761">
                  <c:v>#N/A</c:v>
                </c:pt>
                <c:pt idx="762">
                  <c:v>#N/A</c:v>
                </c:pt>
                <c:pt idx="763">
                  <c:v>#N/A</c:v>
                </c:pt>
                <c:pt idx="764">
                  <c:v>#N/A</c:v>
                </c:pt>
                <c:pt idx="765">
                  <c:v>#N/A</c:v>
                </c:pt>
                <c:pt idx="766">
                  <c:v>#N/A</c:v>
                </c:pt>
                <c:pt idx="767">
                  <c:v>#N/A</c:v>
                </c:pt>
                <c:pt idx="768">
                  <c:v>#N/A</c:v>
                </c:pt>
                <c:pt idx="769">
                  <c:v>#N/A</c:v>
                </c:pt>
                <c:pt idx="770">
                  <c:v>32.000000000000121</c:v>
                </c:pt>
                <c:pt idx="771">
                  <c:v>#N/A</c:v>
                </c:pt>
                <c:pt idx="772">
                  <c:v>#N/A</c:v>
                </c:pt>
                <c:pt idx="773">
                  <c:v>#N/A</c:v>
                </c:pt>
                <c:pt idx="774">
                  <c:v>#N/A</c:v>
                </c:pt>
                <c:pt idx="775">
                  <c:v>#N/A</c:v>
                </c:pt>
                <c:pt idx="776">
                  <c:v>#N/A</c:v>
                </c:pt>
                <c:pt idx="777">
                  <c:v>#N/A</c:v>
                </c:pt>
                <c:pt idx="778">
                  <c:v>#N/A</c:v>
                </c:pt>
                <c:pt idx="779">
                  <c:v>#N/A</c:v>
                </c:pt>
                <c:pt idx="780">
                  <c:v>33.000000000000135</c:v>
                </c:pt>
                <c:pt idx="781">
                  <c:v>#N/A</c:v>
                </c:pt>
                <c:pt idx="782">
                  <c:v>#N/A</c:v>
                </c:pt>
                <c:pt idx="783">
                  <c:v>#N/A</c:v>
                </c:pt>
                <c:pt idx="784">
                  <c:v>#N/A</c:v>
                </c:pt>
                <c:pt idx="785">
                  <c:v>#N/A</c:v>
                </c:pt>
                <c:pt idx="786">
                  <c:v>#N/A</c:v>
                </c:pt>
                <c:pt idx="787">
                  <c:v>#N/A</c:v>
                </c:pt>
                <c:pt idx="788">
                  <c:v>#N/A</c:v>
                </c:pt>
                <c:pt idx="789">
                  <c:v>#N/A</c:v>
                </c:pt>
                <c:pt idx="790">
                  <c:v>34.000000000000149</c:v>
                </c:pt>
                <c:pt idx="791">
                  <c:v>#N/A</c:v>
                </c:pt>
                <c:pt idx="792">
                  <c:v>#N/A</c:v>
                </c:pt>
                <c:pt idx="793">
                  <c:v>#N/A</c:v>
                </c:pt>
                <c:pt idx="794">
                  <c:v>#N/A</c:v>
                </c:pt>
                <c:pt idx="795">
                  <c:v>#N/A</c:v>
                </c:pt>
                <c:pt idx="796">
                  <c:v>#N/A</c:v>
                </c:pt>
                <c:pt idx="797">
                  <c:v>#N/A</c:v>
                </c:pt>
                <c:pt idx="798">
                  <c:v>#N/A</c:v>
                </c:pt>
                <c:pt idx="799">
                  <c:v>#N/A</c:v>
                </c:pt>
                <c:pt idx="800">
                  <c:v>35.000000000000163</c:v>
                </c:pt>
                <c:pt idx="801">
                  <c:v>#N/A</c:v>
                </c:pt>
                <c:pt idx="802">
                  <c:v>#N/A</c:v>
                </c:pt>
                <c:pt idx="803">
                  <c:v>#N/A</c:v>
                </c:pt>
                <c:pt idx="804">
                  <c:v>#N/A</c:v>
                </c:pt>
                <c:pt idx="805">
                  <c:v>#N/A</c:v>
                </c:pt>
                <c:pt idx="806">
                  <c:v>#N/A</c:v>
                </c:pt>
                <c:pt idx="807">
                  <c:v>#N/A</c:v>
                </c:pt>
                <c:pt idx="808">
                  <c:v>#N/A</c:v>
                </c:pt>
                <c:pt idx="809">
                  <c:v>#N/A</c:v>
                </c:pt>
                <c:pt idx="810">
                  <c:v>36.000000000000178</c:v>
                </c:pt>
                <c:pt idx="811">
                  <c:v>#N/A</c:v>
                </c:pt>
                <c:pt idx="812">
                  <c:v>#N/A</c:v>
                </c:pt>
                <c:pt idx="813">
                  <c:v>#N/A</c:v>
                </c:pt>
                <c:pt idx="814">
                  <c:v>#N/A</c:v>
                </c:pt>
                <c:pt idx="815">
                  <c:v>#N/A</c:v>
                </c:pt>
                <c:pt idx="816">
                  <c:v>#N/A</c:v>
                </c:pt>
                <c:pt idx="817">
                  <c:v>#N/A</c:v>
                </c:pt>
                <c:pt idx="818">
                  <c:v>#N/A</c:v>
                </c:pt>
                <c:pt idx="819">
                  <c:v>#N/A</c:v>
                </c:pt>
                <c:pt idx="820">
                  <c:v>37.000000000000192</c:v>
                </c:pt>
                <c:pt idx="821">
                  <c:v>#N/A</c:v>
                </c:pt>
                <c:pt idx="822">
                  <c:v>#N/A</c:v>
                </c:pt>
                <c:pt idx="823">
                  <c:v>#N/A</c:v>
                </c:pt>
                <c:pt idx="824">
                  <c:v>#N/A</c:v>
                </c:pt>
                <c:pt idx="825">
                  <c:v>#N/A</c:v>
                </c:pt>
                <c:pt idx="826">
                  <c:v>#N/A</c:v>
                </c:pt>
                <c:pt idx="827">
                  <c:v>#N/A</c:v>
                </c:pt>
                <c:pt idx="828">
                  <c:v>#N/A</c:v>
                </c:pt>
                <c:pt idx="829">
                  <c:v>#N/A</c:v>
                </c:pt>
                <c:pt idx="830">
                  <c:v>38.000000000000206</c:v>
                </c:pt>
                <c:pt idx="831">
                  <c:v>#N/A</c:v>
                </c:pt>
                <c:pt idx="832">
                  <c:v>#N/A</c:v>
                </c:pt>
                <c:pt idx="833">
                  <c:v>#N/A</c:v>
                </c:pt>
                <c:pt idx="834">
                  <c:v>#N/A</c:v>
                </c:pt>
                <c:pt idx="835">
                  <c:v>#N/A</c:v>
                </c:pt>
                <c:pt idx="836">
                  <c:v>#N/A</c:v>
                </c:pt>
                <c:pt idx="837">
                  <c:v>#N/A</c:v>
                </c:pt>
                <c:pt idx="838">
                  <c:v>#N/A</c:v>
                </c:pt>
                <c:pt idx="839">
                  <c:v>#N/A</c:v>
                </c:pt>
                <c:pt idx="840">
                  <c:v>39.00000000000022</c:v>
                </c:pt>
                <c:pt idx="841">
                  <c:v>#N/A</c:v>
                </c:pt>
                <c:pt idx="842">
                  <c:v>#N/A</c:v>
                </c:pt>
                <c:pt idx="843">
                  <c:v>#N/A</c:v>
                </c:pt>
                <c:pt idx="844">
                  <c:v>#N/A</c:v>
                </c:pt>
                <c:pt idx="845">
                  <c:v>#N/A</c:v>
                </c:pt>
                <c:pt idx="846">
                  <c:v>#N/A</c:v>
                </c:pt>
                <c:pt idx="847">
                  <c:v>#N/A</c:v>
                </c:pt>
                <c:pt idx="848">
                  <c:v>#N/A</c:v>
                </c:pt>
                <c:pt idx="849">
                  <c:v>#N/A</c:v>
                </c:pt>
                <c:pt idx="850">
                  <c:v>40.000000000000234</c:v>
                </c:pt>
                <c:pt idx="851">
                  <c:v>#N/A</c:v>
                </c:pt>
                <c:pt idx="852">
                  <c:v>#N/A</c:v>
                </c:pt>
                <c:pt idx="853">
                  <c:v>#N/A</c:v>
                </c:pt>
                <c:pt idx="854">
                  <c:v>#N/A</c:v>
                </c:pt>
                <c:pt idx="855">
                  <c:v>#N/A</c:v>
                </c:pt>
                <c:pt idx="856">
                  <c:v>#N/A</c:v>
                </c:pt>
                <c:pt idx="857">
                  <c:v>#N/A</c:v>
                </c:pt>
                <c:pt idx="858">
                  <c:v>#N/A</c:v>
                </c:pt>
                <c:pt idx="859">
                  <c:v>#N/A</c:v>
                </c:pt>
                <c:pt idx="860">
                  <c:v>41.000000000000249</c:v>
                </c:pt>
                <c:pt idx="861">
                  <c:v>#N/A</c:v>
                </c:pt>
                <c:pt idx="862">
                  <c:v>#N/A</c:v>
                </c:pt>
                <c:pt idx="863">
                  <c:v>#N/A</c:v>
                </c:pt>
                <c:pt idx="864">
                  <c:v>#N/A</c:v>
                </c:pt>
                <c:pt idx="865">
                  <c:v>#N/A</c:v>
                </c:pt>
                <c:pt idx="866">
                  <c:v>#N/A</c:v>
                </c:pt>
                <c:pt idx="867">
                  <c:v>#N/A</c:v>
                </c:pt>
                <c:pt idx="868">
                  <c:v>#N/A</c:v>
                </c:pt>
                <c:pt idx="869">
                  <c:v>#N/A</c:v>
                </c:pt>
                <c:pt idx="870">
                  <c:v>42.000000000000263</c:v>
                </c:pt>
                <c:pt idx="871">
                  <c:v>#N/A</c:v>
                </c:pt>
                <c:pt idx="872">
                  <c:v>#N/A</c:v>
                </c:pt>
                <c:pt idx="873">
                  <c:v>#N/A</c:v>
                </c:pt>
                <c:pt idx="874">
                  <c:v>#N/A</c:v>
                </c:pt>
                <c:pt idx="875">
                  <c:v>#N/A</c:v>
                </c:pt>
                <c:pt idx="876">
                  <c:v>#N/A</c:v>
                </c:pt>
                <c:pt idx="877">
                  <c:v>#N/A</c:v>
                </c:pt>
                <c:pt idx="878">
                  <c:v>#N/A</c:v>
                </c:pt>
                <c:pt idx="879">
                  <c:v>#N/A</c:v>
                </c:pt>
                <c:pt idx="880">
                  <c:v>43.000000000000277</c:v>
                </c:pt>
                <c:pt idx="881">
                  <c:v>#N/A</c:v>
                </c:pt>
                <c:pt idx="882">
                  <c:v>#N/A</c:v>
                </c:pt>
                <c:pt idx="883">
                  <c:v>#N/A</c:v>
                </c:pt>
                <c:pt idx="884">
                  <c:v>#N/A</c:v>
                </c:pt>
                <c:pt idx="885">
                  <c:v>#N/A</c:v>
                </c:pt>
                <c:pt idx="886">
                  <c:v>#N/A</c:v>
                </c:pt>
                <c:pt idx="887">
                  <c:v>#N/A</c:v>
                </c:pt>
                <c:pt idx="888">
                  <c:v>#N/A</c:v>
                </c:pt>
                <c:pt idx="889">
                  <c:v>#N/A</c:v>
                </c:pt>
                <c:pt idx="890">
                  <c:v>44.000000000000291</c:v>
                </c:pt>
                <c:pt idx="891">
                  <c:v>#N/A</c:v>
                </c:pt>
                <c:pt idx="892">
                  <c:v>#N/A</c:v>
                </c:pt>
                <c:pt idx="893">
                  <c:v>#N/A</c:v>
                </c:pt>
                <c:pt idx="894">
                  <c:v>#N/A</c:v>
                </c:pt>
                <c:pt idx="895">
                  <c:v>#N/A</c:v>
                </c:pt>
                <c:pt idx="896">
                  <c:v>#N/A</c:v>
                </c:pt>
                <c:pt idx="897">
                  <c:v>#N/A</c:v>
                </c:pt>
                <c:pt idx="898">
                  <c:v>#N/A</c:v>
                </c:pt>
                <c:pt idx="899">
                  <c:v>#N/A</c:v>
                </c:pt>
                <c:pt idx="900">
                  <c:v>45.000000000000306</c:v>
                </c:pt>
                <c:pt idx="901">
                  <c:v>#N/A</c:v>
                </c:pt>
                <c:pt idx="902">
                  <c:v>#N/A</c:v>
                </c:pt>
                <c:pt idx="903">
                  <c:v>#N/A</c:v>
                </c:pt>
                <c:pt idx="904">
                  <c:v>#N/A</c:v>
                </c:pt>
                <c:pt idx="905">
                  <c:v>#N/A</c:v>
                </c:pt>
                <c:pt idx="906">
                  <c:v>#N/A</c:v>
                </c:pt>
                <c:pt idx="907">
                  <c:v>#N/A</c:v>
                </c:pt>
                <c:pt idx="908">
                  <c:v>#N/A</c:v>
                </c:pt>
                <c:pt idx="909">
                  <c:v>#N/A</c:v>
                </c:pt>
                <c:pt idx="910">
                  <c:v>46.00000000000032</c:v>
                </c:pt>
                <c:pt idx="911">
                  <c:v>#N/A</c:v>
                </c:pt>
                <c:pt idx="912">
                  <c:v>#N/A</c:v>
                </c:pt>
                <c:pt idx="913">
                  <c:v>#N/A</c:v>
                </c:pt>
                <c:pt idx="914">
                  <c:v>#N/A</c:v>
                </c:pt>
                <c:pt idx="915">
                  <c:v>#N/A</c:v>
                </c:pt>
                <c:pt idx="916">
                  <c:v>#N/A</c:v>
                </c:pt>
                <c:pt idx="917">
                  <c:v>#N/A</c:v>
                </c:pt>
                <c:pt idx="918">
                  <c:v>#N/A</c:v>
                </c:pt>
                <c:pt idx="919">
                  <c:v>#N/A</c:v>
                </c:pt>
                <c:pt idx="920">
                  <c:v>47.000000000000334</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3.6937359344706394E-4</c:v>
                </c:pt>
                <c:pt idx="2">
                  <c:v>2.409843196968374E-3</c:v>
                </c:pt>
                <c:pt idx="3">
                  <c:v>7.440741493872579E-3</c:v>
                </c:pt>
                <c:pt idx="4">
                  <c:v>1.623630438492359E-2</c:v>
                </c:pt>
                <c:pt idx="5">
                  <c:v>2.9571348273326512E-2</c:v>
                </c:pt>
                <c:pt idx="6">
                  <c:v>4.8221358059421959E-2</c:v>
                </c:pt>
                <c:pt idx="7">
                  <c:v>7.296257457439749E-2</c:v>
                </c:pt>
                <c:pt idx="8">
                  <c:v>0.10457208148333813</c:v>
                </c:pt>
                <c:pt idx="9">
                  <c:v>0.1438278916872418</c:v>
                </c:pt>
                <c:pt idx="10">
                  <c:v>0.19150903325295746</c:v>
                </c:pt>
                <c:pt idx="11">
                  <c:v>0.24817296831150651</c:v>
                </c:pt>
                <c:pt idx="12">
                  <c:v>0.31393252335261035</c:v>
                </c:pt>
                <c:pt idx="13">
                  <c:v>0.38867618672903692</c:v>
                </c:pt>
                <c:pt idx="14">
                  <c:v>0.47228885012694549</c:v>
                </c:pt>
                <c:pt idx="15">
                  <c:v>0.56465350225469901</c:v>
                </c:pt>
                <c:pt idx="16">
                  <c:v>0.66565292596421655</c:v>
                </c:pt>
                <c:pt idx="17">
                  <c:v>0.77516970154074527</c:v>
                </c:pt>
                <c:pt idx="18">
                  <c:v>0.8930862099908885</c:v>
                </c:pt>
                <c:pt idx="19">
                  <c:v>1.0192846363284953</c:v>
                </c:pt>
                <c:pt idx="20">
                  <c:v>1.1536469728580168</c:v>
                </c:pt>
                <c:pt idx="21">
                  <c:v>1.2960550224549374</c:v>
                </c:pt>
                <c:pt idx="22">
                  <c:v>1.4463904018428917</c:v>
                </c:pt>
                <c:pt idx="23">
                  <c:v>1.6045345448670789</c:v>
                </c:pt>
                <c:pt idx="24">
                  <c:v>1.7703687057635917</c:v>
                </c:pt>
                <c:pt idx="25">
                  <c:v>1.9437739624242751</c:v>
                </c:pt>
                <c:pt idx="26">
                  <c:v>2.1246312196567372</c:v>
                </c:pt>
                <c:pt idx="27">
                  <c:v>2.3128511191445789</c:v>
                </c:pt>
                <c:pt idx="28">
                  <c:v>2.5084039963978619</c:v>
                </c:pt>
                <c:pt idx="29">
                  <c:v>2.7112900453318853</c:v>
                </c:pt>
                <c:pt idx="30">
                  <c:v>2.9215094342123353</c:v>
                </c:pt>
                <c:pt idx="31">
                  <c:v>3.1390623056262128</c:v>
                </c:pt>
                <c:pt idx="32">
                  <c:v>3.3639487764531877</c:v>
                </c:pt>
                <c:pt idx="33">
                  <c:v>3.596168937837386</c:v>
                </c:pt>
                <c:pt idx="34">
                  <c:v>3.8357228551596076</c:v>
                </c:pt>
                <c:pt idx="35">
                  <c:v>4.0826105680099767</c:v>
                </c:pt>
                <c:pt idx="36">
                  <c:v>4.336817293532202</c:v>
                </c:pt>
                <c:pt idx="37">
                  <c:v>4.5983277538632219</c:v>
                </c:pt>
                <c:pt idx="38">
                  <c:v>4.8671409756608819</c:v>
                </c:pt>
                <c:pt idx="39">
                  <c:v>5.1432559719222475</c:v>
                </c:pt>
                <c:pt idx="40">
                  <c:v>5.4266717479223958</c:v>
                </c:pt>
                <c:pt idx="41">
                  <c:v>5.7173873003768731</c:v>
                </c:pt>
                <c:pt idx="42">
                  <c:v>6.0154016166609923</c:v>
                </c:pt>
                <c:pt idx="43">
                  <c:v>6.3207136740807677</c:v>
                </c:pt>
                <c:pt idx="44">
                  <c:v>6.6333224391908958</c:v>
                </c:pt>
                <c:pt idx="45">
                  <c:v>6.9532268671556769</c:v>
                </c:pt>
                <c:pt idx="46">
                  <c:v>7.2804259011492434</c:v>
                </c:pt>
                <c:pt idx="47">
                  <c:v>7.6149184717918317</c:v>
                </c:pt>
                <c:pt idx="48">
                  <c:v>7.9567034966191779</c:v>
                </c:pt>
                <c:pt idx="49">
                  <c:v>8.3057798795824134</c:v>
                </c:pt>
                <c:pt idx="50">
                  <c:v>8.6621465105761057</c:v>
                </c:pt>
                <c:pt idx="51">
                  <c:v>9.0258022649923042</c:v>
                </c:pt>
                <c:pt idx="52">
                  <c:v>9.39674600329867</c:v>
                </c:pt>
                <c:pt idx="53">
                  <c:v>9.7749765706389393</c:v>
                </c:pt>
                <c:pt idx="54">
                  <c:v>10.160492796454141</c:v>
                </c:pt>
                <c:pt idx="55">
                  <c:v>10.553293494123118</c:v>
                </c:pt>
                <c:pt idx="56">
                  <c:v>10.953377460621033</c:v>
                </c:pt>
                <c:pt idx="57">
                  <c:v>11.36074347619468</c:v>
                </c:pt>
                <c:pt idx="58">
                  <c:v>11.775390304053468</c:v>
                </c:pt>
                <c:pt idx="59">
                  <c:v>12.197316690075109</c:v>
                </c:pt>
                <c:pt idx="60">
                  <c:v>12.626521362525043</c:v>
                </c:pt>
                <c:pt idx="61">
                  <c:v>13.063003031788798</c:v>
                </c:pt>
                <c:pt idx="62">
                  <c:v>13.506760390116462</c:v>
                </c:pt>
                <c:pt idx="63">
                  <c:v>13.957792111378586</c:v>
                </c:pt>
                <c:pt idx="64">
                  <c:v>14.416096850832806</c:v>
                </c:pt>
                <c:pt idx="65">
                  <c:v>14.88167324490062</c:v>
                </c:pt>
                <c:pt idx="66">
                  <c:v>15.354519910953712</c:v>
                </c:pt>
                <c:pt idx="67">
                  <c:v>15.834635447109322</c:v>
                </c:pt>
                <c:pt idx="68">
                  <c:v>16.322018432034156</c:v>
                </c:pt>
                <c:pt idx="69">
                  <c:v>16.816667424756393</c:v>
                </c:pt>
                <c:pt idx="70">
                  <c:v>17.318580964485363</c:v>
                </c:pt>
                <c:pt idx="71">
                  <c:v>17.827757570438511</c:v>
                </c:pt>
                <c:pt idx="72">
                  <c:v>18.344195401050573</c:v>
                </c:pt>
                <c:pt idx="73">
                  <c:v>18.867891912765909</c:v>
                </c:pt>
                <c:pt idx="74">
                  <c:v>19.398844199907973</c:v>
                </c:pt>
                <c:pt idx="75">
                  <c:v>19.937049334983051</c:v>
                </c:pt>
                <c:pt idx="76">
                  <c:v>20.482504368548444</c:v>
                </c:pt>
                <c:pt idx="77">
                  <c:v>21.035206329086257</c:v>
                </c:pt>
                <c:pt idx="78">
                  <c:v>21.595152222882575</c:v>
                </c:pt>
                <c:pt idx="79">
                  <c:v>22.162339033911731</c:v>
                </c:pt>
                <c:pt idx="80">
                  <c:v>22.736763723725492</c:v>
                </c:pt>
                <c:pt idx="81">
                  <c:v>23.318423231346934</c:v>
                </c:pt>
                <c:pt idx="82">
                  <c:v>23.907314473168796</c:v>
                </c:pt>
                <c:pt idx="83">
                  <c:v>24.503434342856153</c:v>
                </c:pt>
                <c:pt idx="84">
                  <c:v>25.106779711253207</c:v>
                </c:pt>
                <c:pt idx="85">
                  <c:v>25.717347426294037</c:v>
                </c:pt>
                <c:pt idx="86">
                  <c:v>26.335134312917177</c:v>
                </c:pt>
                <c:pt idx="87">
                  <c:v>26.960137172983831</c:v>
                </c:pt>
                <c:pt idx="88">
                  <c:v>27.592352785199633</c:v>
                </c:pt>
                <c:pt idx="89">
                  <c:v>28.23177790503977</c:v>
                </c:pt>
                <c:pt idx="90">
                  <c:v>28.878409264677394</c:v>
                </c:pt>
                <c:pt idx="91">
                  <c:v>29.532243572915171</c:v>
                </c:pt>
                <c:pt idx="92">
                  <c:v>30.193277515119874</c:v>
                </c:pt>
                <c:pt idx="93">
                  <c:v>30.861507753159898</c:v>
                </c:pt>
                <c:pt idx="94">
                  <c:v>31.536930925345615</c:v>
                </c:pt>
                <c:pt idx="95">
                  <c:v>32.219543646372458</c:v>
                </c:pt>
                <c:pt idx="96">
                  <c:v>32.909342507266665</c:v>
                </c:pt>
                <c:pt idx="97">
                  <c:v>33.606324075333561</c:v>
                </c:pt>
                <c:pt idx="98">
                  <c:v>34.310484894108342</c:v>
                </c:pt>
                <c:pt idx="99">
                  <c:v>35.021821483309246</c:v>
                </c:pt>
                <c:pt idx="100">
                  <c:v>35.740330338793065</c:v>
                </c:pt>
                <c:pt idx="101">
                  <c:v>36.466007932512895</c:v>
                </c:pt>
                <c:pt idx="102">
                  <c:v>37.198850712478098</c:v>
                </c:pt>
                <c:pt idx="103">
                  <c:v>37.938855102716381</c:v>
                </c:pt>
                <c:pt idx="104">
                  <c:v>38.686017503237935</c:v>
                </c:pt>
                <c:pt idx="105">
                  <c:v>39.440334290001601</c:v>
                </c:pt>
                <c:pt idx="106">
                  <c:v>40.201801814882984</c:v>
                </c:pt>
                <c:pt idx="107">
                  <c:v>40.970416405644443</c:v>
                </c:pt>
                <c:pt idx="108">
                  <c:v>41.74617436590696</c:v>
                </c:pt>
                <c:pt idx="109">
                  <c:v>42.529071975123799</c:v>
                </c:pt>
                <c:pt idx="110">
                  <c:v>43.319105488555927</c:v>
                </c:pt>
                <c:pt idx="111">
                  <c:v>44.116271137249136</c:v>
                </c:pt>
                <c:pt idx="112">
                  <c:v>44.920565128012832</c:v>
                </c:pt>
                <c:pt idx="113">
                  <c:v>45.731983643400469</c:v>
                </c:pt>
                <c:pt idx="114">
                  <c:v>46.550522841691546</c:v>
                </c:pt>
                <c:pt idx="115">
                  <c:v>47.376178856875185</c:v>
                </c:pt>
                <c:pt idx="116">
                  <c:v>48.208947798635201</c:v>
                </c:pt>
                <c:pt idx="117">
                  <c:v>49.048825752336661</c:v>
                </c:pt>
                <c:pt idx="118">
                  <c:v>49.895808779013905</c:v>
                </c:pt>
                <c:pt idx="119">
                  <c:v>50.749892915359951</c:v>
                </c:pt>
                <c:pt idx="120">
                  <c:v>51.611074173717334</c:v>
                </c:pt>
                <c:pt idx="121">
                  <c:v>52.479348542070248</c:v>
                </c:pt>
                <c:pt idx="122">
                  <c:v>53.354711984038062</c:v>
                </c:pt>
                <c:pt idx="123">
                  <c:v>54.237160438870106</c:v>
                </c:pt>
                <c:pt idx="124">
                  <c:v>55.126689821441772</c:v>
                </c:pt>
                <c:pt idx="125">
                  <c:v>56.023296022251806</c:v>
                </c:pt>
                <c:pt idx="126">
                  <c:v>56.926974907420878</c:v>
                </c:pt>
                <c:pt idx="127">
                  <c:v>57.837722318691327</c:v>
                </c:pt>
                <c:pt idx="128">
                  <c:v>58.755534073428123</c:v>
                </c:pt>
                <c:pt idx="129">
                  <c:v>59.680404399144614</c:v>
                </c:pt>
                <c:pt idx="130">
                  <c:v>60.612324366313949</c:v>
                </c:pt>
                <c:pt idx="131">
                  <c:v>61.551283451619859</c:v>
                </c:pt>
                <c:pt idx="132">
                  <c:v>62.497271102957384</c:v>
                </c:pt>
                <c:pt idx="133">
                  <c:v>63.45027673950603</c:v>
                </c:pt>
                <c:pt idx="134">
                  <c:v>64.410289751804186</c:v>
                </c:pt>
                <c:pt idx="135">
                  <c:v>65.377299501824808</c:v>
                </c:pt>
                <c:pt idx="136">
                  <c:v>66.351295323052284</c:v>
                </c:pt>
                <c:pt idx="137">
                  <c:v>67.332266520560481</c:v>
                </c:pt>
                <c:pt idx="138">
                  <c:v>68.320202371092023</c:v>
                </c:pt>
                <c:pt idx="139">
                  <c:v>69.315092123138626</c:v>
                </c:pt>
                <c:pt idx="140">
                  <c:v>70.31692499702261</c:v>
                </c:pt>
                <c:pt idx="141">
                  <c:v>71.325690184979493</c:v>
                </c:pt>
                <c:pt idx="142">
                  <c:v>72.34137685124162</c:v>
                </c:pt>
                <c:pt idx="143">
                  <c:v>73.36397413212292</c:v>
                </c:pt>
                <c:pt idx="144">
                  <c:v>74.393471136104637</c:v>
                </c:pt>
                <c:pt idx="145">
                  <c:v>75.429856943922118</c:v>
                </c:pt>
                <c:pt idx="146">
                  <c:v>76.473120608652536</c:v>
                </c:pt>
                <c:pt idx="147">
                  <c:v>77.523251155803649</c:v>
                </c:pt>
                <c:pt idx="148">
                  <c:v>78.580237583403516</c:v>
                </c:pt>
                <c:pt idx="149">
                  <c:v>79.644068862091089</c:v>
                </c:pt>
                <c:pt idx="150">
                  <c:v>80.714733935207803</c:v>
                </c:pt>
                <c:pt idx="151">
                  <c:v>81.792221718890033</c:v>
                </c:pt>
                <c:pt idx="152">
                  <c:v>82.876521102162428</c:v>
                </c:pt>
                <c:pt idx="153">
                  <c:v>83.96762094703216</c:v>
                </c:pt>
                <c:pt idx="154">
                  <c:v>85.065510088583991</c:v>
                </c:pt>
                <c:pt idx="155">
                  <c:v>86.170177335076204</c:v>
                </c:pt>
                <c:pt idx="156">
                  <c:v>87.28161146803734</c:v>
                </c:pt>
                <c:pt idx="157">
                  <c:v>88.399801242363779</c:v>
                </c:pt>
                <c:pt idx="158">
                  <c:v>89.524735386418087</c:v>
                </c:pt>
                <c:pt idx="159">
                  <c:v>90.656402602128168</c:v>
                </c:pt>
                <c:pt idx="160">
                  <c:v>91.794791565087138</c:v>
                </c:pt>
                <c:pt idx="161">
                  <c:v>92.939890924654023</c:v>
                </c:pt>
                <c:pt idx="162">
                  <c:v>94.091689304055166</c:v>
                </c:pt>
                <c:pt idx="163">
                  <c:v>95.250175300486362</c:v>
                </c:pt>
                <c:pt idx="164">
                  <c:v>96.415337485215687</c:v>
                </c:pt>
                <c:pt idx="165">
                  <c:v>97.587164403687083</c:v>
                </c:pt>
                <c:pt idx="166">
                  <c:v>98.765644575624592</c:v>
                </c:pt>
                <c:pt idx="167">
                  <c:v>99.950766495137273</c:v>
                </c:pt>
                <c:pt idx="168">
                  <c:v>101.14251863082478</c:v>
                </c:pt>
                <c:pt idx="169">
                  <c:v>102.34088942588367</c:v>
                </c:pt>
                <c:pt idx="170">
                  <c:v>103.54586729821423</c:v>
                </c:pt>
                <c:pt idx="171">
                  <c:v>104.75744064052802</c:v>
                </c:pt>
                <c:pt idx="172">
                  <c:v>105.975597820456</c:v>
                </c:pt>
                <c:pt idx="173">
                  <c:v>107.20032718065733</c:v>
                </c:pt>
                <c:pt idx="174">
                  <c:v>108.43161703892868</c:v>
                </c:pt>
                <c:pt idx="175">
                  <c:v>109.66945568831419</c:v>
                </c:pt>
                <c:pt idx="176">
                  <c:v>110.91383139721597</c:v>
                </c:pt>
                <c:pt idx="177">
                  <c:v>112.16473240950522</c:v>
                </c:pt>
                <c:pt idx="178">
                  <c:v>113.42214694463382</c:v>
                </c:pt>
                <c:pt idx="179">
                  <c:v>114.68606319774661</c:v>
                </c:pt>
                <c:pt idx="180">
                  <c:v>115.956469339794</c:v>
                </c:pt>
                <c:pt idx="181">
                  <c:v>117.23335351764533</c:v>
                </c:pt>
                <c:pt idx="182">
                  <c:v>118.5167038542026</c:v>
                </c:pt>
                <c:pt idx="183">
                  <c:v>119.80650844851476</c:v>
                </c:pt>
                <c:pt idx="184">
                  <c:v>121.1027553758925</c:v>
                </c:pt>
                <c:pt idx="185">
                  <c:v>122.4054326880235</c:v>
                </c:pt>
                <c:pt idx="186">
                  <c:v>123.71452841308822</c:v>
                </c:pt>
                <c:pt idx="187">
                  <c:v>125.0300305558761</c:v>
                </c:pt>
                <c:pt idx="188">
                  <c:v>126.35192709790223</c:v>
                </c:pt>
                <c:pt idx="189">
                  <c:v>127.68020599752458</c:v>
                </c:pt>
                <c:pt idx="190">
                  <c:v>129.0148551900615</c:v>
                </c:pt>
                <c:pt idx="191">
                  <c:v>130.35586258790974</c:v>
                </c:pt>
                <c:pt idx="192">
                  <c:v>131.70321608066297</c:v>
                </c:pt>
                <c:pt idx="193">
                  <c:v>133.05690353523062</c:v>
                </c:pt>
                <c:pt idx="194">
                  <c:v>134.41691279595719</c:v>
                </c:pt>
                <c:pt idx="195">
                  <c:v>135.78323168474185</c:v>
                </c:pt>
                <c:pt idx="196">
                  <c:v>137.15584800115866</c:v>
                </c:pt>
                <c:pt idx="197">
                  <c:v>138.53474952257696</c:v>
                </c:pt>
                <c:pt idx="198">
                  <c:v>139.91992400428219</c:v>
                </c:pt>
                <c:pt idx="199">
                  <c:v>141.31135917959716</c:v>
                </c:pt>
                <c:pt idx="200">
                  <c:v>142.70904276000368</c:v>
                </c:pt>
                <c:pt idx="201">
                  <c:v>144.11296243526439</c:v>
                </c:pt>
                <c:pt idx="202">
                  <c:v>145.52310587354515</c:v>
                </c:pt>
                <c:pt idx="203">
                  <c:v>146.93946072153759</c:v>
                </c:pt>
                <c:pt idx="204">
                  <c:v>148.36201460458213</c:v>
                </c:pt>
                <c:pt idx="205">
                  <c:v>149.79075512679125</c:v>
                </c:pt>
                <c:pt idx="206">
                  <c:v>151.22566949051395</c:v>
                </c:pt>
                <c:pt idx="207">
                  <c:v>152.66674411552015</c:v>
                </c:pt>
                <c:pt idx="208">
                  <c:v>154.11396501950296</c:v>
                </c:pt>
                <c:pt idx="209">
                  <c:v>155.56731819887074</c:v>
                </c:pt>
                <c:pt idx="210">
                  <c:v>157.02678962889007</c:v>
                </c:pt>
                <c:pt idx="211">
                  <c:v>158.49236526382896</c:v>
                </c:pt>
                <c:pt idx="212">
                  <c:v>159.96403103710037</c:v>
                </c:pt>
                <c:pt idx="213">
                  <c:v>161.44177286140587</c:v>
                </c:pt>
                <c:pt idx="214">
                  <c:v>162.92557662887964</c:v>
                </c:pt>
                <c:pt idx="215">
                  <c:v>164.41542821123264</c:v>
                </c:pt>
                <c:pt idx="216">
                  <c:v>165.91131345989692</c:v>
                </c:pt>
                <c:pt idx="217">
                  <c:v>167.41321820617031</c:v>
                </c:pt>
                <c:pt idx="218">
                  <c:v>168.92112826136116</c:v>
                </c:pt>
                <c:pt idx="219">
                  <c:v>170.43502941693336</c:v>
                </c:pt>
                <c:pt idx="220">
                  <c:v>171.95490744465144</c:v>
                </c:pt>
                <c:pt idx="221">
                  <c:v>173.48074809672596</c:v>
                </c:pt>
                <c:pt idx="222">
                  <c:v>175.01253710595907</c:v>
                </c:pt>
                <c:pt idx="223">
                  <c:v>176.5502601858901</c:v>
                </c:pt>
                <c:pt idx="224">
                  <c:v>178.09390303094145</c:v>
                </c:pt>
                <c:pt idx="225">
                  <c:v>179.64345131656452</c:v>
                </c:pt>
                <c:pt idx="226">
                  <c:v>181.19889069938594</c:v>
                </c:pt>
                <c:pt idx="227">
                  <c:v>182.76020681735366</c:v>
                </c:pt>
                <c:pt idx="228">
                  <c:v>184.32738528988347</c:v>
                </c:pt>
                <c:pt idx="229">
                  <c:v>185.90041171800542</c:v>
                </c:pt>
                <c:pt idx="230">
                  <c:v>187.47927168451051</c:v>
                </c:pt>
                <c:pt idx="231">
                  <c:v>189.06395075409728</c:v>
                </c:pt>
                <c:pt idx="232">
                  <c:v>190.65443447351876</c:v>
                </c:pt>
                <c:pt idx="233">
                  <c:v>192.2507083717293</c:v>
                </c:pt>
                <c:pt idx="234">
                  <c:v>193.8527579600316</c:v>
                </c:pt>
                <c:pt idx="235">
                  <c:v>195.46056873222372</c:v>
                </c:pt>
                <c:pt idx="236">
                  <c:v>197.0741261647463</c:v>
                </c:pt>
                <c:pt idx="237">
                  <c:v>198.69341571682972</c:v>
                </c:pt>
                <c:pt idx="238">
                  <c:v>200.31842283064137</c:v>
                </c:pt>
                <c:pt idx="239">
                  <c:v>201.94913293143298</c:v>
                </c:pt>
                <c:pt idx="240">
                  <c:v>203.58553142768801</c:v>
                </c:pt>
                <c:pt idx="241">
                  <c:v>205.22760371126896</c:v>
                </c:pt>
                <c:pt idx="242">
                  <c:v>206.87533384250113</c:v>
                </c:pt>
                <c:pt idx="243">
                  <c:v>208.52870323452919</c:v>
                </c:pt>
                <c:pt idx="244">
                  <c:v>210.1876919680021</c:v>
                </c:pt>
                <c:pt idx="245">
                  <c:v>211.85228010651844</c:v>
                </c:pt>
                <c:pt idx="246">
                  <c:v>213.52244769683969</c:v>
                </c:pt>
                <c:pt idx="247">
                  <c:v>215.19817476910347</c:v>
                </c:pt>
                <c:pt idx="248">
                  <c:v>216.87944133703644</c:v>
                </c:pt>
                <c:pt idx="249">
                  <c:v>218.56622739816703</c:v>
                </c:pt>
                <c:pt idx="250">
                  <c:v>220.25851293403795</c:v>
                </c:pt>
                <c:pt idx="251">
                  <c:v>221.95627791041844</c:v>
                </c:pt>
                <c:pt idx="252">
                  <c:v>223.65950227751628</c:v>
                </c:pt>
                <c:pt idx="253">
                  <c:v>225.36816597018955</c:v>
                </c:pt>
                <c:pt idx="254">
                  <c:v>227.08224890815805</c:v>
                </c:pt>
                <c:pt idx="255">
                  <c:v>228.80173099621453</c:v>
                </c:pt>
                <c:pt idx="256">
                  <c:v>230.52659212443558</c:v>
                </c:pt>
                <c:pt idx="257">
                  <c:v>232.25681216839226</c:v>
                </c:pt>
                <c:pt idx="258">
                  <c:v>233.99237098936038</c:v>
                </c:pt>
                <c:pt idx="259">
                  <c:v>235.73324843453059</c:v>
                </c:pt>
                <c:pt idx="260">
                  <c:v>237.47942433721792</c:v>
                </c:pt>
                <c:pt idx="261">
                  <c:v>239.23087851707126</c:v>
                </c:pt>
                <c:pt idx="262">
                  <c:v>240.98759078028229</c:v>
                </c:pt>
                <c:pt idx="263">
                  <c:v>242.74954091979419</c:v>
                </c:pt>
                <c:pt idx="264">
                  <c:v>244.51670871550996</c:v>
                </c:pt>
                <c:pt idx="265">
                  <c:v>246.28907393450035</c:v>
                </c:pt>
                <c:pt idx="266">
                  <c:v>248.06661633121146</c:v>
                </c:pt>
                <c:pt idx="267">
                  <c:v>249.849315647672</c:v>
                </c:pt>
                <c:pt idx="268">
                  <c:v>251.63715161370007</c:v>
                </c:pt>
                <c:pt idx="269">
                  <c:v>253.43010394710961</c:v>
                </c:pt>
                <c:pt idx="270">
                  <c:v>255.22815235391644</c:v>
                </c:pt>
                <c:pt idx="271">
                  <c:v>257.03127652854391</c:v>
                </c:pt>
                <c:pt idx="272">
                  <c:v>258.83945615402814</c:v>
                </c:pt>
                <c:pt idx="273">
                  <c:v>260.65267090222278</c:v>
                </c:pt>
                <c:pt idx="274">
                  <c:v>262.4709004340034</c:v>
                </c:pt>
                <c:pt idx="275">
                  <c:v>264.29412439947146</c:v>
                </c:pt>
                <c:pt idx="276">
                  <c:v>266.12232243815777</c:v>
                </c:pt>
                <c:pt idx="277">
                  <c:v>267.95547417922546</c:v>
                </c:pt>
                <c:pt idx="278">
                  <c:v>269.79355924167282</c:v>
                </c:pt>
                <c:pt idx="279">
                  <c:v>271.63655723453513</c:v>
                </c:pt>
                <c:pt idx="280">
                  <c:v>273.48444775708651</c:v>
                </c:pt>
                <c:pt idx="281">
                  <c:v>275.337210399041</c:v>
                </c:pt>
                <c:pt idx="282">
                  <c:v>277.1948247407534</c:v>
                </c:pt>
                <c:pt idx="283">
                  <c:v>279.05727035341931</c:v>
                </c:pt>
                <c:pt idx="284">
                  <c:v>280.92452834216084</c:v>
                </c:pt>
                <c:pt idx="285">
                  <c:v>282.79658288957563</c:v>
                </c:pt>
                <c:pt idx="286">
                  <c:v>284.67341971298526</c:v>
                </c:pt>
                <c:pt idx="287">
                  <c:v>286.55502452118424</c:v>
                </c:pt>
                <c:pt idx="288">
                  <c:v>288.44138301456792</c:v>
                </c:pt>
                <c:pt idx="289">
                  <c:v>290.33248088525988</c:v>
                </c:pt>
                <c:pt idx="290">
                  <c:v>292.22830381723946</c:v>
                </c:pt>
                <c:pt idx="291">
                  <c:v>294.1288374864688</c:v>
                </c:pt>
                <c:pt idx="292">
                  <c:v>296.03406756101958</c:v>
                </c:pt>
                <c:pt idx="293">
                  <c:v>297.94397970119991</c:v>
                </c:pt>
                <c:pt idx="294">
                  <c:v>299.85855955968071</c:v>
                </c:pt>
                <c:pt idx="295">
                  <c:v>301.77779278162183</c:v>
                </c:pt>
                <c:pt idx="296">
                  <c:v>303.70166500479814</c:v>
                </c:pt>
                <c:pt idx="297">
                  <c:v>305.63016185972509</c:v>
                </c:pt>
                <c:pt idx="298">
                  <c:v>307.56326896978442</c:v>
                </c:pt>
                <c:pt idx="299">
                  <c:v>309.50097195134913</c:v>
                </c:pt>
                <c:pt idx="300">
                  <c:v>311.44325641390867</c:v>
                </c:pt>
                <c:pt idx="301">
                  <c:v>313.39010796019357</c:v>
                </c:pt>
                <c:pt idx="302">
                  <c:v>315.34151218629989</c:v>
                </c:pt>
                <c:pt idx="303">
                  <c:v>317.29745468181352</c:v>
                </c:pt>
                <c:pt idx="304">
                  <c:v>319.25792102993404</c:v>
                </c:pt>
                <c:pt idx="305">
                  <c:v>321.22289680759832</c:v>
                </c:pt>
                <c:pt idx="306">
                  <c:v>323.19236758560413</c:v>
                </c:pt>
                <c:pt idx="307">
                  <c:v>325.16631892873306</c:v>
                </c:pt>
                <c:pt idx="308">
                  <c:v>327.14473639587351</c:v>
                </c:pt>
                <c:pt idx="309">
                  <c:v>329.12760554014312</c:v>
                </c:pt>
                <c:pt idx="310">
                  <c:v>331.1149119090112</c:v>
                </c:pt>
                <c:pt idx="311">
                  <c:v>333.1066410444206</c:v>
                </c:pt>
                <c:pt idx="312">
                  <c:v>335.10277848290946</c:v>
                </c:pt>
                <c:pt idx="313">
                  <c:v>337.1033097557326</c:v>
                </c:pt>
                <c:pt idx="314">
                  <c:v>339.10822038898272</c:v>
                </c:pt>
                <c:pt idx="315">
                  <c:v>341.11749590371107</c:v>
                </c:pt>
                <c:pt idx="316">
                  <c:v>343.13112181604811</c:v>
                </c:pt>
                <c:pt idx="317">
                  <c:v>345.1490836373236</c:v>
                </c:pt>
                <c:pt idx="318">
                  <c:v>347.17136687418656</c:v>
                </c:pt>
                <c:pt idx="319">
                  <c:v>349.19795702872483</c:v>
                </c:pt>
                <c:pt idx="320">
                  <c:v>351.22883959858433</c:v>
                </c:pt>
                <c:pt idx="321">
                  <c:v>353.26400007708804</c:v>
                </c:pt>
                <c:pt idx="322">
                  <c:v>355.30342395335464</c:v>
                </c:pt>
                <c:pt idx="323">
                  <c:v>357.34709671241683</c:v>
                </c:pt>
                <c:pt idx="324">
                  <c:v>359.39500383533931</c:v>
                </c:pt>
                <c:pt idx="325">
                  <c:v>361.44713079933638</c:v>
                </c:pt>
                <c:pt idx="326">
                  <c:v>363.50346317260096</c:v>
                </c:pt>
                <c:pt idx="327">
                  <c:v>365.56398670914376</c:v>
                </c:pt>
                <c:pt idx="328">
                  <c:v>367.62868725416229</c:v>
                </c:pt>
                <c:pt idx="329">
                  <c:v>369.69755064939744</c:v>
                </c:pt>
                <c:pt idx="330">
                  <c:v>371.77056273324575</c:v>
                </c:pt>
                <c:pt idx="331">
                  <c:v>373.84770934087157</c:v>
                </c:pt>
                <c:pt idx="332">
                  <c:v>375.92897630431889</c:v>
                </c:pt>
                <c:pt idx="333">
                  <c:v>378.01434945262264</c:v>
                </c:pt>
                <c:pt idx="334">
                  <c:v>380.10381461191986</c:v>
                </c:pt>
                <c:pt idx="335">
                  <c:v>382.1973576055604</c:v>
                </c:pt>
                <c:pt idx="336">
                  <c:v>384.29496425421752</c:v>
                </c:pt>
                <c:pt idx="337">
                  <c:v>386.39662037599777</c:v>
                </c:pt>
                <c:pt idx="338">
                  <c:v>388.50231178655082</c:v>
                </c:pt>
                <c:pt idx="339">
                  <c:v>390.61202429917893</c:v>
                </c:pt>
                <c:pt idx="340">
                  <c:v>392.72574372494597</c:v>
                </c:pt>
                <c:pt idx="341">
                  <c:v>394.84345587278608</c:v>
                </c:pt>
                <c:pt idx="342">
                  <c:v>396.96514654961214</c:v>
                </c:pt>
                <c:pt idx="343">
                  <c:v>399.09080156042364</c:v>
                </c:pt>
                <c:pt idx="344">
                  <c:v>401.22040670841454</c:v>
                </c:pt>
                <c:pt idx="345">
                  <c:v>403.35394779508039</c:v>
                </c:pt>
                <c:pt idx="346">
                  <c:v>405.49141062032538</c:v>
                </c:pt>
                <c:pt idx="347">
                  <c:v>407.63278098256893</c:v>
                </c:pt>
                <c:pt idx="348">
                  <c:v>409.77804467885187</c:v>
                </c:pt>
                <c:pt idx="349">
                  <c:v>411.92718750494231</c:v>
                </c:pt>
                <c:pt idx="350">
                  <c:v>414.0801952554412</c:v>
                </c:pt>
                <c:pt idx="351">
                  <c:v>416.23705372388736</c:v>
                </c:pt>
                <c:pt idx="352">
                  <c:v>418.39774870286237</c:v>
                </c:pt>
                <c:pt idx="353">
                  <c:v>420.56226598409489</c:v>
                </c:pt>
                <c:pt idx="354">
                  <c:v>422.73059135856465</c:v>
                </c:pt>
                <c:pt idx="355">
                  <c:v>424.90271061660616</c:v>
                </c:pt>
                <c:pt idx="356">
                  <c:v>427.07860954801197</c:v>
                </c:pt>
                <c:pt idx="357">
                  <c:v>429.25827394213553</c:v>
                </c:pt>
                <c:pt idx="358">
                  <c:v>431.44168958799366</c:v>
                </c:pt>
                <c:pt idx="359">
                  <c:v>433.62884227436888</c:v>
                </c:pt>
                <c:pt idx="360">
                  <c:v>435.8197177899109</c:v>
                </c:pt>
                <c:pt idx="361">
                  <c:v>438.01430192323818</c:v>
                </c:pt>
                <c:pt idx="362">
                  <c:v>440.21258046303882</c:v>
                </c:pt>
                <c:pt idx="363">
                  <c:v>442.41453919817116</c:v>
                </c:pt>
                <c:pt idx="364">
                  <c:v>444.62016391776393</c:v>
                </c:pt>
                <c:pt idx="365">
                  <c:v>446.82944041131623</c:v>
                </c:pt>
                <c:pt idx="366">
                  <c:v>449.04235686801997</c:v>
                </c:pt>
                <c:pt idx="367">
                  <c:v>451.25890627594663</c:v>
                </c:pt>
                <c:pt idx="368">
                  <c:v>453.4790840213027</c:v>
                </c:pt>
                <c:pt idx="369">
                  <c:v>455.70288548778672</c:v>
                </c:pt>
                <c:pt idx="370">
                  <c:v>457.93030605662022</c:v>
                </c:pt>
                <c:pt idx="371">
                  <c:v>460.1613411065785</c:v>
                </c:pt>
                <c:pt idx="372">
                  <c:v>462.3959860140215</c:v>
                </c:pt>
                <c:pt idx="373">
                  <c:v>464.63423615292464</c:v>
                </c:pt>
                <c:pt idx="374">
                  <c:v>466.87608689490946</c:v>
                </c:pt>
                <c:pt idx="375">
                  <c:v>469.12153360927442</c:v>
                </c:pt>
                <c:pt idx="376">
                  <c:v>471.37057166302554</c:v>
                </c:pt>
                <c:pt idx="377">
                  <c:v>473.62319642090694</c:v>
                </c:pt>
                <c:pt idx="378">
                  <c:v>475.8794032454316</c:v>
                </c:pt>
                <c:pt idx="379">
                  <c:v>478.13918749691175</c:v>
                </c:pt>
                <c:pt idx="380">
                  <c:v>480.40254453348945</c:v>
                </c:pt>
                <c:pt idx="381">
                  <c:v>482.66946712239582</c:v>
                </c:pt>
                <c:pt idx="382">
                  <c:v>484.93994285144049</c:v>
                </c:pt>
                <c:pt idx="383">
                  <c:v>487.21395671973005</c:v>
                </c:pt>
                <c:pt idx="384">
                  <c:v>489.49149372819176</c:v>
                </c:pt>
                <c:pt idx="385">
                  <c:v>491.77253887967589</c:v>
                </c:pt>
                <c:pt idx="386">
                  <c:v>494.05707717905739</c:v>
                </c:pt>
                <c:pt idx="387">
                  <c:v>496.34509363333717</c:v>
                </c:pt>
                <c:pt idx="388">
                  <c:v>498.63657325174296</c:v>
                </c:pt>
                <c:pt idx="389">
                  <c:v>500.93150104582969</c:v>
                </c:pt>
                <c:pt idx="390">
                  <c:v>503.22986202957929</c:v>
                </c:pt>
                <c:pt idx="391">
                  <c:v>505.53164121950022</c:v>
                </c:pt>
                <c:pt idx="392">
                  <c:v>507.83682363472639</c:v>
                </c:pt>
                <c:pt idx="393">
                  <c:v>510.14539429711579</c:v>
                </c:pt>
                <c:pt idx="394">
                  <c:v>512.45733823134844</c:v>
                </c:pt>
                <c:pt idx="395">
                  <c:v>514.77264046502398</c:v>
                </c:pt>
                <c:pt idx="396">
                  <c:v>517.09128602875876</c:v>
                </c:pt>
                <c:pt idx="397">
                  <c:v>519.41325995628256</c:v>
                </c:pt>
                <c:pt idx="398">
                  <c:v>521.73854728453477</c:v>
                </c:pt>
                <c:pt idx="399">
                  <c:v>524.06713305376013</c:v>
                </c:pt>
                <c:pt idx="400">
                  <c:v>526.39900230760372</c:v>
                </c:pt>
                <c:pt idx="401">
                  <c:v>528.73413806211443</c:v>
                </c:pt>
                <c:pt idx="402">
                  <c:v>531.07251927510788</c:v>
                </c:pt>
                <c:pt idx="403">
                  <c:v>533.4141228791741</c:v>
                </c:pt>
                <c:pt idx="404">
                  <c:v>535.75892581436199</c:v>
                </c:pt>
                <c:pt idx="405">
                  <c:v>538.10690502834689</c:v>
                </c:pt>
                <c:pt idx="406">
                  <c:v>540.45803747659727</c:v>
                </c:pt>
                <c:pt idx="407">
                  <c:v>542.81230012254025</c:v>
                </c:pt>
                <c:pt idx="408">
                  <c:v>545.16966993772633</c:v>
                </c:pt>
                <c:pt idx="409">
                  <c:v>547.53012390199262</c:v>
                </c:pt>
                <c:pt idx="410">
                  <c:v>549.89363900362548</c:v>
                </c:pt>
                <c:pt idx="411">
                  <c:v>552.26018103198612</c:v>
                </c:pt>
                <c:pt idx="412">
                  <c:v>554.62969337290951</c:v>
                </c:pt>
                <c:pt idx="413">
                  <c:v>557.00210822786096</c:v>
                </c:pt>
                <c:pt idx="414">
                  <c:v>559.37735783069593</c:v>
                </c:pt>
                <c:pt idx="415">
                  <c:v>561.75537444857139</c:v>
                </c:pt>
                <c:pt idx="416">
                  <c:v>564.13609038284937</c:v>
                </c:pt>
                <c:pt idx="417">
                  <c:v>566.51943796999171</c:v>
                </c:pt>
                <c:pt idx="418">
                  <c:v>568.90534958244734</c:v>
                </c:pt>
                <c:pt idx="419">
                  <c:v>571.29375762953032</c:v>
                </c:pt>
                <c:pt idx="420">
                  <c:v>573.6845881906446</c:v>
                </c:pt>
                <c:pt idx="421">
                  <c:v>576.07775465102941</c:v>
                </c:pt>
                <c:pt idx="422">
                  <c:v>578.47316407833478</c:v>
                </c:pt>
                <c:pt idx="423">
                  <c:v>580.87072359699778</c:v>
                </c:pt>
                <c:pt idx="424">
                  <c:v>583.27034038975228</c:v>
                </c:pt>
                <c:pt idx="425">
                  <c:v>585.67192169912312</c:v>
                </c:pt>
                <c:pt idx="426">
                  <c:v>588.0753748289053</c:v>
                </c:pt>
                <c:pt idx="427">
                  <c:v>590.48060714562678</c:v>
                </c:pt>
                <c:pt idx="428">
                  <c:v>592.88752607999595</c:v>
                </c:pt>
                <c:pt idx="429">
                  <c:v>595.29603912833375</c:v>
                </c:pt>
                <c:pt idx="430">
                  <c:v>597.70605385398972</c:v>
                </c:pt>
                <c:pt idx="431">
                  <c:v>600.11747788874231</c:v>
                </c:pt>
                <c:pt idx="432">
                  <c:v>602.53020868867725</c:v>
                </c:pt>
                <c:pt idx="433">
                  <c:v>604.94412329669422</c:v>
                </c:pt>
                <c:pt idx="434">
                  <c:v>607.35908860640905</c:v>
                </c:pt>
                <c:pt idx="435">
                  <c:v>609.77497162010548</c:v>
                </c:pt>
                <c:pt idx="436">
                  <c:v>612.19163945146909</c:v>
                </c:pt>
                <c:pt idx="437">
                  <c:v>614.60895932828953</c:v>
                </c:pt>
                <c:pt idx="438">
                  <c:v>617.02679859512921</c:v>
                </c:pt>
                <c:pt idx="439">
                  <c:v>619.44502471595956</c:v>
                </c:pt>
                <c:pt idx="440">
                  <c:v>621.86350527676416</c:v>
                </c:pt>
                <c:pt idx="441">
                  <c:v>624.28210798810926</c:v>
                </c:pt>
                <c:pt idx="442">
                  <c:v>626.70070690358762</c:v>
                </c:pt>
                <c:pt idx="443">
                  <c:v>629.11918863246638</c:v>
                </c:pt>
                <c:pt idx="444">
                  <c:v>631.53744611330728</c:v>
                </c:pt>
                <c:pt idx="445">
                  <c:v>633.95537239288728</c:v>
                </c:pt>
                <c:pt idx="446">
                  <c:v>636.37286062774899</c:v>
                </c:pt>
                <c:pt idx="447">
                  <c:v>638.78980408572988</c:v>
                </c:pt>
                <c:pt idx="448">
                  <c:v>641.20609614746934</c:v>
                </c:pt>
                <c:pt idx="449">
                  <c:v>643.62163030789486</c:v>
                </c:pt>
                <c:pt idx="450">
                  <c:v>646.03630017768614</c:v>
                </c:pt>
                <c:pt idx="451">
                  <c:v>648.44999948471843</c:v>
                </c:pt>
                <c:pt idx="452">
                  <c:v>650.86262207548396</c:v>
                </c:pt>
                <c:pt idx="453">
                  <c:v>653.27407080936712</c:v>
                </c:pt>
                <c:pt idx="454">
                  <c:v>655.68426644265503</c:v>
                </c:pt>
                <c:pt idx="455">
                  <c:v>658.09313871567701</c:v>
                </c:pt>
                <c:pt idx="456">
                  <c:v>660.50061744975415</c:v>
                </c:pt>
                <c:pt idx="457">
                  <c:v>662.90663254769652</c:v>
                </c:pt>
                <c:pt idx="458">
                  <c:v>665.31111399429153</c:v>
                </c:pt>
                <c:pt idx="459">
                  <c:v>667.71399185678308</c:v>
                </c:pt>
                <c:pt idx="460">
                  <c:v>670.11519628534199</c:v>
                </c:pt>
                <c:pt idx="461">
                  <c:v>672.51466551240173</c:v>
                </c:pt>
                <c:pt idx="462">
                  <c:v>674.9123538420082</c:v>
                </c:pt>
                <c:pt idx="463">
                  <c:v>677.30822363121274</c:v>
                </c:pt>
                <c:pt idx="464">
                  <c:v>679.70223728124336</c:v>
                </c:pt>
                <c:pt idx="465">
                  <c:v>682.09435723755632</c:v>
                </c:pt>
                <c:pt idx="466">
                  <c:v>684.48453927189655</c:v>
                </c:pt>
                <c:pt idx="467">
                  <c:v>686.87272577296505</c:v>
                </c:pt>
                <c:pt idx="468">
                  <c:v>689.25877767495854</c:v>
                </c:pt>
                <c:pt idx="469">
                  <c:v>691.6424980206607</c:v>
                </c:pt>
                <c:pt idx="470">
                  <c:v>694.02379838489708</c:v>
                </c:pt>
                <c:pt idx="471">
                  <c:v>696.4026819943565</c:v>
                </c:pt>
                <c:pt idx="472">
                  <c:v>698.77915206715682</c:v>
                </c:pt>
                <c:pt idx="473">
                  <c:v>701.15321181287482</c:v>
                </c:pt>
                <c:pt idx="474">
                  <c:v>703.52486443257601</c:v>
                </c:pt>
                <c:pt idx="475">
                  <c:v>705.89411311884464</c:v>
                </c:pt>
                <c:pt idx="476">
                  <c:v>708.26096105581303</c:v>
                </c:pt>
                <c:pt idx="477">
                  <c:v>710.62541141919132</c:v>
                </c:pt>
                <c:pt idx="478">
                  <c:v>712.98746737629676</c:v>
                </c:pt>
                <c:pt idx="479">
                  <c:v>715.34713208608298</c:v>
                </c:pt>
                <c:pt idx="480">
                  <c:v>717.70440869916888</c:v>
                </c:pt>
                <c:pt idx="481">
                  <c:v>720.05930035786787</c:v>
                </c:pt>
                <c:pt idx="482">
                  <c:v>722.41181019621661</c:v>
                </c:pt>
                <c:pt idx="483">
                  <c:v>724.76194134000377</c:v>
                </c:pt>
                <c:pt idx="484">
                  <c:v>727.10969690679872</c:v>
                </c:pt>
                <c:pt idx="485">
                  <c:v>729.45508000597977</c:v>
                </c:pt>
                <c:pt idx="486">
                  <c:v>731.79809373876265</c:v>
                </c:pt>
                <c:pt idx="487">
                  <c:v>734.13874119822879</c:v>
                </c:pt>
                <c:pt idx="488">
                  <c:v>736.47702546935329</c:v>
                </c:pt>
                <c:pt idx="489">
                  <c:v>738.81294962903314</c:v>
                </c:pt>
                <c:pt idx="490">
                  <c:v>741.14651674611468</c:v>
                </c:pt>
                <c:pt idx="491">
                  <c:v>743.47772988142162</c:v>
                </c:pt>
                <c:pt idx="492">
                  <c:v>745.80659208778275</c:v>
                </c:pt>
                <c:pt idx="493">
                  <c:v>748.1331064100591</c:v>
                </c:pt>
                <c:pt idx="494">
                  <c:v>750.4572758851715</c:v>
                </c:pt>
                <c:pt idx="495">
                  <c:v>752.77910354212781</c:v>
                </c:pt>
                <c:pt idx="496">
                  <c:v>755.09859240205014</c:v>
                </c:pt>
                <c:pt idx="497">
                  <c:v>757.41574547820176</c:v>
                </c:pt>
                <c:pt idx="498">
                  <c:v>759.73056577601392</c:v>
                </c:pt>
                <c:pt idx="499">
                  <c:v>762.04305629311273</c:v>
                </c:pt>
                <c:pt idx="500">
                  <c:v>764.35322001934594</c:v>
                </c:pt>
                <c:pt idx="501">
                  <c:v>787.32711480942896</c:v>
                </c:pt>
                <c:pt idx="502">
                  <c:v>810.07025332253977</c:v>
                </c:pt>
                <c:pt idx="503">
                  <c:v>832.58554919016797</c:v>
                </c:pt>
                <c:pt idx="504">
                  <c:v>854.87584181271234</c:v>
                </c:pt>
                <c:pt idx="505">
                  <c:v>876.94389882779831</c:v>
                </c:pt>
                <c:pt idx="506">
                  <c:v>898.79241847506535</c:v>
                </c:pt>
                <c:pt idx="507">
                  <c:v>920.42403186262084</c:v>
                </c:pt>
                <c:pt idx="508">
                  <c:v>941.84130514005267</c:v>
                </c:pt>
                <c:pt idx="509">
                  <c:v>963.04674158261003</c:v>
                </c:pt>
                <c:pt idx="510">
                  <c:v>984.04278359089744</c:v>
                </c:pt>
                <c:pt idx="511">
                  <c:v>1004.8318146101795</c:v>
                </c:pt>
                <c:pt idx="512">
                  <c:v>1025.416160973163</c:v>
                </c:pt>
                <c:pt idx="513">
                  <c:v>1045.7980936699046</c:v>
                </c:pt>
                <c:pt idx="514">
                  <c:v>1065.9798300482948</c:v>
                </c:pt>
                <c:pt idx="515">
                  <c:v>1085.9635354483714</c:v>
                </c:pt>
                <c:pt idx="516">
                  <c:v>1105.7513247735446</c:v>
                </c:pt>
                <c:pt idx="517">
                  <c:v>1125.345264001646</c:v>
                </c:pt>
                <c:pt idx="518">
                  <c:v>1144.7473716385559</c:v>
                </c:pt>
                <c:pt idx="519">
                  <c:v>1163.95962011702</c:v>
                </c:pt>
                <c:pt idx="520">
                  <c:v>1182.9839371431249</c:v>
                </c:pt>
                <c:pt idx="521">
                  <c:v>1201.8222069927738</c:v>
                </c:pt>
                <c:pt idx="522">
                  <c:v>1220.4762717603826</c:v>
                </c:pt>
                <c:pt idx="523">
                  <c:v>1238.9479325618991</c:v>
                </c:pt>
                <c:pt idx="524">
                  <c:v>1257.2389506941429</c:v>
                </c:pt>
                <c:pt idx="525">
                  <c:v>1275.3510487523606</c:v>
                </c:pt>
                <c:pt idx="526">
                  <c:v>1293.2859117077942</c:v>
                </c:pt>
                <c:pt idx="527">
                  <c:v>1311.0451879469729</c:v>
                </c:pt>
                <c:pt idx="528">
                  <c:v>1328.6304902743507</c:v>
                </c:pt>
                <c:pt idx="529">
                  <c:v>1346.0433968798325</c:v>
                </c:pt>
                <c:pt idx="530">
                  <c:v>1363.2854522726584</c:v>
                </c:pt>
                <c:pt idx="531">
                  <c:v>1380.3581681830399</c:v>
                </c:pt>
                <c:pt idx="532">
                  <c:v>1397.2630244328768</c:v>
                </c:pt>
                <c:pt idx="533">
                  <c:v>1414.0014697768204</c:v>
                </c:pt>
                <c:pt idx="534">
                  <c:v>1430.574922714886</c:v>
                </c:pt>
                <c:pt idx="535">
                  <c:v>1446.9847722777629</c:v>
                </c:pt>
                <c:pt idx="536">
                  <c:v>1463.2323787859132</c:v>
                </c:pt>
                <c:pt idx="537">
                  <c:v>1479.319074583505</c:v>
                </c:pt>
                <c:pt idx="538">
                  <c:v>1495.2461647481691</c:v>
                </c:pt>
                <c:pt idx="539">
                  <c:v>1511.0149277775311</c:v>
                </c:pt>
                <c:pt idx="540">
                  <c:v>1526.6266162534209</c:v>
                </c:pt>
                <c:pt idx="541">
                  <c:v>1542.0824574846247</c:v>
                </c:pt>
                <c:pt idx="542">
                  <c:v>1557.3836541290025</c:v>
                </c:pt>
                <c:pt idx="543">
                  <c:v>1572.5313847957589</c:v>
                </c:pt>
                <c:pt idx="544">
                  <c:v>1587.5268046286199</c:v>
                </c:pt>
                <c:pt idx="545">
                  <c:v>1602.3710458706346</c:v>
                </c:pt>
                <c:pt idx="546">
                  <c:v>1617.0652184112885</c:v>
                </c:pt>
                <c:pt idx="547">
                  <c:v>1631.610410316586</c:v>
                </c:pt>
                <c:pt idx="548">
                  <c:v>1646.0076883427314</c:v>
                </c:pt>
                <c:pt idx="549">
                  <c:v>1660.2580984340093</c:v>
                </c:pt>
                <c:pt idx="550">
                  <c:v>1674.3626662054403</c:v>
                </c:pt>
                <c:pt idx="551">
                  <c:v>1688.3223974107632</c:v>
                </c:pt>
                <c:pt idx="552">
                  <c:v>1702.1382783962722</c:v>
                </c:pt>
                <c:pt idx="553">
                  <c:v>1715.8112765410146</c:v>
                </c:pt>
                <c:pt idx="554">
                  <c:v>1729.3423406838331</c:v>
                </c:pt>
                <c:pt idx="555">
                  <c:v>1742.7324015377169</c:v>
                </c:pt>
                <c:pt idx="556">
                  <c:v>1755.9823720919085</c:v>
                </c:pt>
                <c:pt idx="557">
                  <c:v>1769.0931480021916</c:v>
                </c:pt>
                <c:pt idx="558">
                  <c:v>1782.0656079697703</c:v>
                </c:pt>
                <c:pt idx="559">
                  <c:v>1794.900614109132</c:v>
                </c:pt>
                <c:pt idx="560">
                  <c:v>1807.599012305272</c:v>
                </c:pt>
                <c:pt idx="561">
                  <c:v>1820.1616325606419</c:v>
                </c:pt>
                <c:pt idx="562">
                  <c:v>1832.5892893321686</c:v>
                </c:pt>
                <c:pt idx="563">
                  <c:v>1844.8827818586778</c:v>
                </c:pt>
                <c:pt idx="564">
                  <c:v>1857.0428944790444</c:v>
                </c:pt>
                <c:pt idx="565">
                  <c:v>1869.0703969413755</c:v>
                </c:pt>
                <c:pt idx="566">
                  <c:v>1880.9660447035249</c:v>
                </c:pt>
                <c:pt idx="567">
                  <c:v>1892.7305792252218</c:v>
                </c:pt>
                <c:pt idx="568">
                  <c:v>1904.3647282520901</c:v>
                </c:pt>
                <c:pt idx="569">
                  <c:v>1915.8692060918186</c:v>
                </c:pt>
                <c:pt idx="570">
                  <c:v>1927.2447138827386</c:v>
                </c:pt>
                <c:pt idx="571">
                  <c:v>1938.491939855051</c:v>
                </c:pt>
                <c:pt idx="572">
                  <c:v>1949.6115595849396</c:v>
                </c:pt>
                <c:pt idx="573">
                  <c:v>1960.604236241795</c:v>
                </c:pt>
                <c:pt idx="574">
                  <c:v>1971.4706208287676</c:v>
                </c:pt>
                <c:pt idx="575">
                  <c:v>1982.2113524168608</c:v>
                </c:pt>
                <c:pt idx="576">
                  <c:v>1992.8270583727649</c:v>
                </c:pt>
                <c:pt idx="577">
                  <c:v>2003.3183545806271</c:v>
                </c:pt>
                <c:pt idx="578">
                  <c:v>2013.6858456579469</c:v>
                </c:pt>
                <c:pt idx="579">
                  <c:v>2023.9301251657766</c:v>
                </c:pt>
                <c:pt idx="580">
                  <c:v>2034.0517758134029</c:v>
                </c:pt>
                <c:pt idx="581">
                  <c:v>2044.0513696576772</c:v>
                </c:pt>
                <c:pt idx="582">
                  <c:v>2053.9294682971604</c:v>
                </c:pt>
                <c:pt idx="583">
                  <c:v>2063.6866230612354</c:v>
                </c:pt>
                <c:pt idx="584">
                  <c:v>2073.3233751943421</c:v>
                </c:pt>
                <c:pt idx="585">
                  <c:v>2082.8402560354821</c:v>
                </c:pt>
                <c:pt idx="586">
                  <c:v>2092.237787193133</c:v>
                </c:pt>
                <c:pt idx="587">
                  <c:v>2101.5164807157125</c:v>
                </c:pt>
                <c:pt idx="588">
                  <c:v>2110.6768392577214</c:v>
                </c:pt>
                <c:pt idx="589">
                  <c:v>2119.7193562416974</c:v>
                </c:pt>
                <c:pt idx="590">
                  <c:v>2128.6445160161015</c:v>
                </c:pt>
                <c:pt idx="591">
                  <c:v>2137.4527940092617</c:v>
                </c:pt>
                <c:pt idx="592">
                  <c:v>2146.1446568794845</c:v>
                </c:pt>
                <c:pt idx="593">
                  <c:v>2154.7205626614541</c:v>
                </c:pt>
                <c:pt idx="594">
                  <c:v>2163.1809609090233</c:v>
                </c:pt>
                <c:pt idx="595">
                  <c:v>2171.5262928345091</c:v>
                </c:pt>
                <c:pt idx="596">
                  <c:v>2179.7569914445894</c:v>
                </c:pt>
                <c:pt idx="597">
                  <c:v>2187.8734816729075</c:v>
                </c:pt>
                <c:pt idx="598">
                  <c:v>2195.87618050948</c:v>
                </c:pt>
                <c:pt idx="599">
                  <c:v>2203.7654971270031</c:v>
                </c:pt>
                <c:pt idx="600">
                  <c:v>2211.5418330041498</c:v>
                </c:pt>
                <c:pt idx="601">
                  <c:v>2219.2055820459518</c:v>
                </c:pt>
                <c:pt idx="602">
                  <c:v>2226.7571307013504</c:v>
                </c:pt>
                <c:pt idx="603">
                  <c:v>2234.1968580780053</c:v>
                </c:pt>
                <c:pt idx="604">
                  <c:v>2241.5251360544435</c:v>
                </c:pt>
                <c:pt idx="605">
                  <c:v>2248.7423293896354</c:v>
                </c:pt>
                <c:pt idx="606">
                  <c:v>2255.8487958300743</c:v>
                </c:pt>
                <c:pt idx="607">
                  <c:v>2262.8448862144419</c:v>
                </c:pt>
                <c:pt idx="608">
                  <c:v>2269.730944575937</c:v>
                </c:pt>
                <c:pt idx="609">
                  <c:v>2276.5073082423442</c:v>
                </c:pt>
                <c:pt idx="610">
                  <c:v>2283.1743079339212</c:v>
                </c:pt>
                <c:pt idx="611">
                  <c:v>2289.732267859175</c:v>
                </c:pt>
                <c:pt idx="612">
                  <c:v>2296.1815058086063</c:v>
                </c:pt>
                <c:pt idx="613">
                  <c:v>2302.5223332464934</c:v>
                </c:pt>
                <c:pt idx="614">
                  <c:v>2308.7550554007885</c:v>
                </c:pt>
                <c:pt idx="615">
                  <c:v>2314.8799713512012</c:v>
                </c:pt>
                <c:pt idx="616">
                  <c:v>2320.8973741155405</c:v>
                </c:pt>
                <c:pt idx="617">
                  <c:v>2326.8075507343874</c:v>
                </c:pt>
                <c:pt idx="618">
                  <c:v>2332.6107823541747</c:v>
                </c:pt>
                <c:pt idx="619">
                  <c:v>2338.3073443087433</c:v>
                </c:pt>
                <c:pt idx="620">
                  <c:v>2343.897506199452</c:v>
                </c:pt>
                <c:pt idx="621">
                  <c:v>2349.3815319739124</c:v>
                </c:pt>
                <c:pt idx="622">
                  <c:v>2354.7596800034285</c:v>
                </c:pt>
                <c:pt idx="623">
                  <c:v>2360.0322031592145</c:v>
                </c:pt>
                <c:pt idx="624">
                  <c:v>2365.19934888747</c:v>
                </c:pt>
                <c:pt idx="625">
                  <c:v>2370.2613592833927</c:v>
                </c:pt>
                <c:pt idx="626">
                  <c:v>2375.2184711642089</c:v>
                </c:pt>
                <c:pt idx="627">
                  <c:v>2380.0709161413074</c:v>
                </c:pt>
                <c:pt idx="628">
                  <c:v>2384.8189206915604</c:v>
                </c:pt>
                <c:pt idx="629">
                  <c:v>2389.4627062279201</c:v>
                </c:pt>
                <c:pt idx="630">
                  <c:v>2394.0024891693834</c:v>
                </c:pt>
                <c:pt idx="631">
                  <c:v>2398.4384810104157</c:v>
                </c:pt>
                <c:pt idx="632">
                  <c:v>2402.7708883899354</c:v>
                </c:pt>
                <c:pt idx="633">
                  <c:v>2406.9999131599557</c:v>
                </c:pt>
                <c:pt idx="634">
                  <c:v>2411.1257524539892</c:v>
                </c:pt>
                <c:pt idx="635">
                  <c:v>2415.148598755326</c:v>
                </c:pt>
                <c:pt idx="636">
                  <c:v>2419.068639965295</c:v>
                </c:pt>
                <c:pt idx="637">
                  <c:v>2422.8860594716275</c:v>
                </c:pt>
                <c:pt idx="638">
                  <c:v>2426.6010362170427</c:v>
                </c:pt>
                <c:pt idx="639">
                  <c:v>2430.2137447681848</c:v>
                </c:pt>
                <c:pt idx="640">
                  <c:v>2433.7243553850403</c:v>
                </c:pt>
                <c:pt idx="641">
                  <c:v>2437.1330340909717</c:v>
                </c:pt>
                <c:pt idx="642">
                  <c:v>2440.4399427435119</c:v>
                </c:pt>
                <c:pt idx="643">
                  <c:v>2443.6452391060625</c:v>
                </c:pt>
                <c:pt idx="644">
                  <c:v>2446.7490769206502</c:v>
                </c:pt>
                <c:pt idx="645">
                  <c:v>2449.7516059818931</c:v>
                </c:pt>
                <c:pt idx="646">
                  <c:v>2452.6529722123423</c:v>
                </c:pt>
                <c:pt idx="647">
                  <c:v>2455.4533177393578</c:v>
                </c:pt>
                <c:pt idx="648">
                  <c:v>2458.152780973689</c:v>
                </c:pt>
                <c:pt idx="649">
                  <c:v>2460.7514966899312</c:v>
                </c:pt>
                <c:pt idx="650">
                  <c:v>2463.2495961090235</c:v>
                </c:pt>
                <c:pt idx="651">
                  <c:v>2465.647206982967</c:v>
                </c:pt>
                <c:pt idx="652">
                  <c:v>2467.9444536819292</c:v>
                </c:pt>
                <c:pt idx="653">
                  <c:v>2470.1414572839076</c:v>
                </c:pt>
                <c:pt idx="654">
                  <c:v>2472.2383356671121</c:v>
                </c:pt>
                <c:pt idx="655">
                  <c:v>2474.235203605228</c:v>
                </c:pt>
                <c:pt idx="656">
                  <c:v>2476.1321728657099</c:v>
                </c:pt>
                <c:pt idx="657">
                  <c:v>2477.929352311241</c:v>
                </c:pt>
                <c:pt idx="658">
                  <c:v>2479.6268480044873</c:v>
                </c:pt>
                <c:pt idx="659">
                  <c:v>2481.2247633162556</c:v>
                </c:pt>
                <c:pt idx="660">
                  <c:v>2482.7231990371388</c:v>
                </c:pt>
                <c:pt idx="661">
                  <c:v>2484.1222534927242</c:v>
                </c:pt>
                <c:pt idx="662">
                  <c:v>2485.422022662397</c:v>
                </c:pt>
                <c:pt idx="663">
                  <c:v>2486.6226003017582</c:v>
                </c:pt>
                <c:pt idx="664">
                  <c:v>2487.7240780686329</c:v>
                </c:pt>
                <c:pt idx="665">
                  <c:v>2488.7265456526188</c:v>
                </c:pt>
                <c:pt idx="666">
                  <c:v>2489.6300909080819</c:v>
                </c:pt>
                <c:pt idx="667">
                  <c:v>2490.4347999904735</c:v>
                </c:pt>
                <c:pt idx="668">
                  <c:v>2491.1407574957989</c:v>
                </c:pt>
                <c:pt idx="669">
                  <c:v>2491.7480466030279</c:v>
                </c:pt>
                <c:pt idx="670">
                  <c:v>2492.2567492192002</c:v>
                </c:pt>
                <c:pt idx="671">
                  <c:v>2492.6669461269371</c:v>
                </c:pt>
                <c:pt idx="672">
                  <c:v>2492.9787171340326</c:v>
                </c:pt>
                <c:pt idx="673">
                  <c:v>2493.1921412247634</c:v>
                </c:pt>
                <c:pt idx="674">
                  <c:v>2493.3072967125281</c:v>
                </c:pt>
                <c:pt idx="675">
                  <c:v>2493.3242613933926</c:v>
                </c:pt>
                <c:pt idx="676">
                  <c:v>2493.2431127001055</c:v>
                </c:pt>
                <c:pt idx="677">
                  <c:v>2493.0639278561243</c:v>
                </c:pt>
                <c:pt idx="678">
                  <c:v>2492.786784029186</c:v>
                </c:pt>
                <c:pt idx="679">
                  <c:v>2492.4117584839501</c:v>
                </c:pt>
                <c:pt idx="680">
                  <c:v>2491.9389287332515</c:v>
                </c:pt>
                <c:pt idx="681">
                  <c:v>2491.3683726874997</c:v>
                </c:pt>
                <c:pt idx="682">
                  <c:v>2490.7001688017858</c:v>
                </c:pt>
                <c:pt idx="683">
                  <c:v>2489.9343962202761</c:v>
                </c:pt>
                <c:pt idx="684">
                  <c:v>2489.0711349174958</c:v>
                </c:pt>
                <c:pt idx="685">
                  <c:v>2488.1104658361432</c:v>
                </c:pt>
                <c:pt idx="686">
                  <c:v>2487.0524710211048</c:v>
                </c:pt>
                <c:pt idx="687">
                  <c:v>2485.8972337493751</c:v>
                </c:pt>
                <c:pt idx="688">
                  <c:v>2484.6448386556399</c:v>
                </c:pt>
                <c:pt idx="689">
                  <c:v>2483.2953718533013</c:v>
                </c:pt>
                <c:pt idx="690">
                  <c:v>2481.8489210507769</c:v>
                </c:pt>
                <c:pt idx="691">
                  <c:v>2480.3055756629465</c:v>
                </c:pt>
                <c:pt idx="692">
                  <c:v>2478.6654269176438</c:v>
                </c:pt>
                <c:pt idx="693">
                  <c:v>2476.9285679571467</c:v>
                </c:pt>
                <c:pt idx="694">
                  <c:v>2475.0950939346371</c:v>
                </c:pt>
                <c:pt idx="695">
                  <c:v>2473.165102105645</c:v>
                </c:pt>
                <c:pt idx="696">
                  <c:v>2471.1386919145102</c:v>
                </c:pt>
                <c:pt idx="697">
                  <c:v>2469.0159650759306</c:v>
                </c:pt>
                <c:pt idx="698">
                  <c:v>2466.7970256516783</c:v>
                </c:pt>
                <c:pt idx="699">
                  <c:v>2464.4819801225926</c:v>
                </c:pt>
                <c:pt idx="700">
                  <c:v>2462.0709374559683</c:v>
                </c:pt>
                <c:pt idx="701">
                  <c:v>2459.5640091684759</c:v>
                </c:pt>
                <c:pt idx="702">
                  <c:v>2456.9613093847565</c:v>
                </c:pt>
                <c:pt idx="703">
                  <c:v>2454.2629548918462</c:v>
                </c:pt>
                <c:pt idx="704">
                  <c:v>2451.4690651895849</c:v>
                </c:pt>
                <c:pt idx="705">
                  <c:v>2448.5797625371761</c:v>
                </c:pt>
                <c:pt idx="706">
                  <c:v>2445.5951719960553</c:v>
                </c:pt>
                <c:pt idx="707">
                  <c:v>2442.5154214692343</c:v>
                </c:pt>
                <c:pt idx="708">
                  <c:v>2439.3406417372821</c:v>
                </c:pt>
                <c:pt idx="709">
                  <c:v>2436.0709664911001</c:v>
                </c:pt>
                <c:pt idx="710">
                  <c:v>2432.7065323616503</c:v>
                </c:pt>
                <c:pt idx="711">
                  <c:v>2429.2474789467879</c:v>
                </c:pt>
                <c:pt idx="712">
                  <c:v>2425.6939488353423</c:v>
                </c:pt>
                <c:pt idx="713">
                  <c:v>2422.046087628592</c:v>
                </c:pt>
                <c:pt idx="714">
                  <c:v>2418.3040439592664</c:v>
                </c:pt>
                <c:pt idx="715">
                  <c:v>2414.4679695082082</c:v>
                </c:pt>
                <c:pt idx="716">
                  <c:v>2410.5380190188157</c:v>
                </c:pt>
                <c:pt idx="717">
                  <c:v>2406.51435030939</c:v>
                </c:pt>
                <c:pt idx="718">
                  <c:v>2402.3971242834914</c:v>
                </c:pt>
                <c:pt idx="719">
                  <c:v>2398.1865049384191</c:v>
                </c:pt>
                <c:pt idx="720">
                  <c:v>2393.8826593719104</c:v>
                </c:pt>
                <c:pt idx="721">
                  <c:v>2389.4857577871553</c:v>
                </c:pt>
                <c:pt idx="722">
                  <c:v>2384.9959734962167</c:v>
                </c:pt>
                <c:pt idx="723">
                  <c:v>2380.4134829219406</c:v>
                </c:pt>
                <c:pt idx="724">
                  <c:v>2375.7384655984356</c:v>
                </c:pt>
                <c:pt idx="725">
                  <c:v>2370.9711041701948</c:v>
                </c:pt>
                <c:pt idx="726">
                  <c:v>2366.1115843899352</c:v>
                </c:pt>
                <c:pt idx="727">
                  <c:v>2361.1600951152127</c:v>
                </c:pt>
                <c:pt idx="728">
                  <c:v>2356.1168283038828</c:v>
                </c:pt>
                <c:pt idx="729">
                  <c:v>2350.9819790084571</c:v>
                </c:pt>
                <c:pt idx="730">
                  <c:v>2345.7557453694167</c:v>
                </c:pt>
                <c:pt idx="731">
                  <c:v>2340.4383286075295</c:v>
                </c:pt>
                <c:pt idx="732">
                  <c:v>2335.0299330152188</c:v>
                </c:pt>
                <c:pt idx="733">
                  <c:v>2329.5307659470318</c:v>
                </c:pt>
                <c:pt idx="734">
                  <c:v>2323.9410378092452</c:v>
                </c:pt>
                <c:pt idx="735">
                  <c:v>2318.2609620486501</c:v>
                </c:pt>
                <c:pt idx="736">
                  <c:v>2312.4907551405527</c:v>
                </c:pt>
                <c:pt idx="737">
                  <c:v>2306.6306365760265</c:v>
                </c:pt>
                <c:pt idx="738">
                  <c:v>2300.6808288484453</c:v>
                </c:pt>
                <c:pt idx="739">
                  <c:v>2294.64155743933</c:v>
                </c:pt>
                <c:pt idx="740">
                  <c:v>2288.513050803539</c:v>
                </c:pt>
                <c:pt idx="741">
                  <c:v>2282.2955403538272</c:v>
                </c:pt>
                <c:pt idx="742">
                  <c:v>2275.9892604447978</c:v>
                </c:pt>
                <c:pt idx="743">
                  <c:v>2269.5944483562757</c:v>
                </c:pt>
                <c:pt idx="744">
                  <c:v>2263.1113442761202</c:v>
                </c:pt>
                <c:pt idx="745">
                  <c:v>2256.5401912825014</c:v>
                </c:pt>
                <c:pt idx="746">
                  <c:v>2249.8812353256581</c:v>
                </c:pt>
                <c:pt idx="747">
                  <c:v>2243.1347252091591</c:v>
                </c:pt>
                <c:pt idx="748">
                  <c:v>2236.3009125706835</c:v>
                </c:pt>
                <c:pt idx="749">
                  <c:v>2229.3800518623375</c:v>
                </c:pt>
                <c:pt idx="750">
                  <c:v>2222.3724003305256</c:v>
                </c:pt>
                <c:pt idx="751">
                  <c:v>2215.2782179953902</c:v>
                </c:pt>
                <c:pt idx="752">
                  <c:v>2208.0977676298339</c:v>
                </c:pt>
                <c:pt idx="753">
                  <c:v>2200.83131473814</c:v>
                </c:pt>
                <c:pt idx="754">
                  <c:v>2193.4791275342036</c:v>
                </c:pt>
                <c:pt idx="755">
                  <c:v>2186.0414769193849</c:v>
                </c:pt>
                <c:pt idx="756">
                  <c:v>2178.518636459999</c:v>
                </c:pt>
                <c:pt idx="757">
                  <c:v>2170.9108823644547</c:v>
                </c:pt>
                <c:pt idx="758">
                  <c:v>2163.2184934600473</c:v>
                </c:pt>
                <c:pt idx="759">
                  <c:v>2155.441751169426</c:v>
                </c:pt>
                <c:pt idx="760">
                  <c:v>2147.580939486736</c:v>
                </c:pt>
                <c:pt idx="761">
                  <c:v>2139.6363449534538</c:v>
                </c:pt>
                <c:pt idx="762">
                  <c:v>2131.6082566339182</c:v>
                </c:pt>
                <c:pt idx="763">
                  <c:v>2123.4969660905726</c:v>
                </c:pt>
                <c:pt idx="764">
                  <c:v>2115.3027673589231</c:v>
                </c:pt>
                <c:pt idx="765">
                  <c:v>2107.0259569222226</c:v>
                </c:pt>
                <c:pt idx="766">
                  <c:v>2098.6668336858897</c:v>
                </c:pt>
                <c:pt idx="767">
                  <c:v>2090.2256989516695</c:v>
                </c:pt>
                <c:pt idx="768">
                  <c:v>2081.7028563915455</c:v>
                </c:pt>
                <c:pt idx="769">
                  <c:v>2073.0986120214097</c:v>
                </c:pt>
                <c:pt idx="770">
                  <c:v>2064.4132741744988</c:v>
                </c:pt>
                <c:pt idx="771">
                  <c:v>2055.647153474602</c:v>
                </c:pt>
                <c:pt idx="772">
                  <c:v>2046.8005628090509</c:v>
                </c:pt>
                <c:pt idx="773">
                  <c:v>2037.8738173014965</c:v>
                </c:pt>
                <c:pt idx="774">
                  <c:v>2028.8672342844793</c:v>
                </c:pt>
                <c:pt idx="775">
                  <c:v>2019.7811332718022</c:v>
                </c:pt>
                <c:pt idx="776">
                  <c:v>2010.615835930709</c:v>
                </c:pt>
                <c:pt idx="777">
                  <c:v>2001.3716660538789</c:v>
                </c:pt>
                <c:pt idx="778">
                  <c:v>1992.0489495312411</c:v>
                </c:pt>
                <c:pt idx="779">
                  <c:v>1982.6480143216149</c:v>
                </c:pt>
                <c:pt idx="780">
                  <c:v>1973.1691904241854</c:v>
                </c:pt>
                <c:pt idx="781">
                  <c:v>1963.6128098498164</c:v>
                </c:pt>
                <c:pt idx="782">
                  <c:v>1953.979206592209</c:v>
                </c:pt>
                <c:pt idx="783">
                  <c:v>1944.2687165989121</c:v>
                </c:pt>
                <c:pt idx="784">
                  <c:v>1934.4816777421893</c:v>
                </c:pt>
                <c:pt idx="785">
                  <c:v>1924.6184297897489</c:v>
                </c:pt>
                <c:pt idx="786">
                  <c:v>1914.679314375343</c:v>
                </c:pt>
                <c:pt idx="787">
                  <c:v>1904.6646749692397</c:v>
                </c:pt>
                <c:pt idx="788">
                  <c:v>1894.5748568485772</c:v>
                </c:pt>
                <c:pt idx="789">
                  <c:v>1884.4102070676017</c:v>
                </c:pt>
                <c:pt idx="790">
                  <c:v>1874.171074427798</c:v>
                </c:pt>
                <c:pt idx="791">
                  <c:v>1863.8578094479149</c:v>
                </c:pt>
                <c:pt idx="792">
                  <c:v>1853.4707643338941</c:v>
                </c:pt>
                <c:pt idx="793">
                  <c:v>1843.0102929487064</c:v>
                </c:pt>
                <c:pt idx="794">
                  <c:v>1832.4767507821002</c:v>
                </c:pt>
                <c:pt idx="795">
                  <c:v>1821.8704949202679</c:v>
                </c:pt>
                <c:pt idx="796">
                  <c:v>1811.1918840154365</c:v>
                </c:pt>
                <c:pt idx="797">
                  <c:v>1800.4412782553861</c:v>
                </c:pt>
                <c:pt idx="798">
                  <c:v>1789.6190393329034</c:v>
                </c:pt>
                <c:pt idx="799">
                  <c:v>1778.7255304151722</c:v>
                </c:pt>
                <c:pt idx="800">
                  <c:v>1767.7611161131099</c:v>
                </c:pt>
                <c:pt idx="801">
                  <c:v>1756.7261624506525</c:v>
                </c:pt>
                <c:pt idx="802">
                  <c:v>1745.6210368339941</c:v>
                </c:pt>
                <c:pt idx="803">
                  <c:v>1734.4461080207857</c:v>
                </c:pt>
                <c:pt idx="804">
                  <c:v>1723.2017460892982</c:v>
                </c:pt>
                <c:pt idx="805">
                  <c:v>1711.8883224075551</c:v>
                </c:pt>
                <c:pt idx="806">
                  <c:v>1700.506209602439</c:v>
                </c:pt>
                <c:pt idx="807">
                  <c:v>1689.0557815287789</c:v>
                </c:pt>
                <c:pt idx="808">
                  <c:v>1677.5374132384193</c:v>
                </c:pt>
                <c:pt idx="809">
                  <c:v>1665.95148094928</c:v>
                </c:pt>
                <c:pt idx="810">
                  <c:v>1654.2983620144096</c:v>
                </c:pt>
                <c:pt idx="811">
                  <c:v>1642.5784348910367</c:v>
                </c:pt>
                <c:pt idx="812">
                  <c:v>1630.792079109626</c:v>
                </c:pt>
                <c:pt idx="813">
                  <c:v>1618.9396752429413</c:v>
                </c:pt>
                <c:pt idx="814">
                  <c:v>1607.0216048751222</c:v>
                </c:pt>
                <c:pt idx="815">
                  <c:v>1595.0382505707776</c:v>
                </c:pt>
                <c:pt idx="816">
                  <c:v>1582.9899958441031</c:v>
                </c:pt>
                <c:pt idx="817">
                  <c:v>1570.8772251280232</c:v>
                </c:pt>
                <c:pt idx="818">
                  <c:v>1558.7003237433669</c:v>
                </c:pt>
                <c:pt idx="819">
                  <c:v>1546.4596778680777</c:v>
                </c:pt>
                <c:pt idx="820">
                  <c:v>1534.1556745064661</c:v>
                </c:pt>
                <c:pt idx="821">
                  <c:v>1521.7887014585051</c:v>
                </c:pt>
                <c:pt idx="822">
                  <c:v>1509.3591472891771</c:v>
                </c:pt>
                <c:pt idx="823">
                  <c:v>1496.8674012978743</c:v>
                </c:pt>
                <c:pt idx="824">
                  <c:v>1484.3138534878565</c:v>
                </c:pt>
                <c:pt idx="825">
                  <c:v>1471.6988945357734</c:v>
                </c:pt>
                <c:pt idx="826">
                  <c:v>1459.0229157612534</c:v>
                </c:pt>
                <c:pt idx="827">
                  <c:v>1446.2863090965632</c:v>
                </c:pt>
                <c:pt idx="828">
                  <c:v>1433.489467056344</c:v>
                </c:pt>
                <c:pt idx="829">
                  <c:v>1420.6327827074272</c:v>
                </c:pt>
                <c:pt idx="830">
                  <c:v>1407.7166496387349</c:v>
                </c:pt>
                <c:pt idx="831">
                  <c:v>1394.7414619312681</c:v>
                </c:pt>
                <c:pt idx="832">
                  <c:v>1381.7076141281871</c:v>
                </c:pt>
                <c:pt idx="833">
                  <c:v>1368.6155012049892</c:v>
                </c:pt>
                <c:pt idx="834">
                  <c:v>1355.4655185397871</c:v>
                </c:pt>
                <c:pt idx="835">
                  <c:v>1342.258061883691</c:v>
                </c:pt>
                <c:pt idx="836">
                  <c:v>1328.9935273312992</c:v>
                </c:pt>
                <c:pt idx="837">
                  <c:v>1315.6723112913028</c:v>
                </c:pt>
                <c:pt idx="838">
                  <c:v>1302.2948104572044</c:v>
                </c:pt>
                <c:pt idx="839">
                  <c:v>1288.861421778159</c:v>
                </c:pt>
                <c:pt idx="840">
                  <c:v>1275.3725424299373</c:v>
                </c:pt>
                <c:pt idx="841">
                  <c:v>1261.8285697860185</c:v>
                </c:pt>
                <c:pt idx="842">
                  <c:v>1248.2299013888123</c:v>
                </c:pt>
                <c:pt idx="843">
                  <c:v>1234.5769349210175</c:v>
                </c:pt>
                <c:pt idx="844">
                  <c:v>1220.8700681771195</c:v>
                </c:pt>
                <c:pt idx="845">
                  <c:v>1207.1096990350291</c:v>
                </c:pt>
                <c:pt idx="846">
                  <c:v>1193.2962254278671</c:v>
                </c:pt>
                <c:pt idx="847">
                  <c:v>1179.4300453158992</c:v>
                </c:pt>
                <c:pt idx="848">
                  <c:v>1165.5115566586223</c:v>
                </c:pt>
                <c:pt idx="849">
                  <c:v>1151.5411573870083</c:v>
                </c:pt>
                <c:pt idx="850">
                  <c:v>1137.5192453759055</c:v>
                </c:pt>
                <c:pt idx="851">
                  <c:v>1123.4462184166043</c:v>
                </c:pt>
                <c:pt idx="852">
                  <c:v>1109.3224741895679</c:v>
                </c:pt>
                <c:pt idx="853">
                  <c:v>1095.1484102373315</c:v>
                </c:pt>
                <c:pt idx="854">
                  <c:v>1080.9244239375762</c:v>
                </c:pt>
                <c:pt idx="855">
                  <c:v>1066.6509124763743</c:v>
                </c:pt>
                <c:pt idx="856">
                  <c:v>1052.3282728216168</c:v>
                </c:pt>
                <c:pt idx="857">
                  <c:v>1037.9569016966186</c:v>
                </c:pt>
                <c:pt idx="858">
                  <c:v>1023.5371955539113</c:v>
                </c:pt>
                <c:pt idx="859">
                  <c:v>1009.0695505492196</c:v>
                </c:pt>
                <c:pt idx="860">
                  <c:v>994.55436251563037</c:v>
                </c:pt>
                <c:pt idx="861">
                  <c:v>979.99202693795257</c:v>
                </c:pt>
                <c:pt idx="862">
                  <c:v>965.38293892727302</c:v>
                </c:pt>
                <c:pt idx="863">
                  <c:v>950.72749319571005</c:v>
                </c:pt>
                <c:pt idx="864">
                  <c:v>936.02608403136765</c:v>
                </c:pt>
                <c:pt idx="865">
                  <c:v>921.27910527349241</c:v>
                </c:pt>
                <c:pt idx="866">
                  <c:v>906.48695028783629</c:v>
                </c:pt>
                <c:pt idx="867">
                  <c:v>891.65001194222714</c:v>
                </c:pt>
                <c:pt idx="868">
                  <c:v>876.76868258234913</c:v>
                </c:pt>
                <c:pt idx="869">
                  <c:v>861.84335400773648</c:v>
                </c:pt>
                <c:pt idx="870">
                  <c:v>846.8744174479815</c:v>
                </c:pt>
                <c:pt idx="871">
                  <c:v>831.86226353915947</c:v>
                </c:pt>
                <c:pt idx="872">
                  <c:v>816.80728230047293</c:v>
                </c:pt>
                <c:pt idx="873">
                  <c:v>801.70986311111733</c:v>
                </c:pt>
                <c:pt idx="874">
                  <c:v>786.57039468736934</c:v>
                </c:pt>
                <c:pt idx="875">
                  <c:v>771.38926505990071</c:v>
                </c:pt>
                <c:pt idx="876">
                  <c:v>756.16686155131913</c:v>
                </c:pt>
                <c:pt idx="877">
                  <c:v>740.90357075393774</c:v>
                </c:pt>
                <c:pt idx="878">
                  <c:v>725.59977850777545</c:v>
                </c:pt>
                <c:pt idx="879">
                  <c:v>710.25586987878989</c:v>
                </c:pt>
                <c:pt idx="880">
                  <c:v>694.87222913734377</c:v>
                </c:pt>
                <c:pt idx="881">
                  <c:v>679.44923973690743</c:v>
                </c:pt>
                <c:pt idx="882">
                  <c:v>663.98728429299808</c:v>
                </c:pt>
                <c:pt idx="883">
                  <c:v>648.48674456235824</c:v>
                </c:pt>
                <c:pt idx="884">
                  <c:v>632.94800142237375</c:v>
                </c:pt>
                <c:pt idx="885">
                  <c:v>617.37143485073341</c:v>
                </c:pt>
                <c:pt idx="886">
                  <c:v>601.75742390533139</c:v>
                </c:pt>
                <c:pt idx="887">
                  <c:v>586.10634670441357</c:v>
                </c:pt>
                <c:pt idx="888">
                  <c:v>570.418580406969</c:v>
                </c:pt>
                <c:pt idx="889">
                  <c:v>554.69450119336761</c:v>
                </c:pt>
                <c:pt idx="890">
                  <c:v>538.93448424624535</c:v>
                </c:pt>
                <c:pt idx="891">
                  <c:v>523.13890373163792</c:v>
                </c:pt>
                <c:pt idx="892">
                  <c:v>507.30813278036345</c:v>
                </c:pt>
                <c:pt idx="893">
                  <c:v>491.44254346965533</c:v>
                </c:pt>
                <c:pt idx="894">
                  <c:v>475.54250680504663</c:v>
                </c:pt>
                <c:pt idx="895">
                  <c:v>459.6083927025058</c:v>
                </c:pt>
                <c:pt idx="896">
                  <c:v>443.6405699708252</c:v>
                </c:pt>
                <c:pt idx="897">
                  <c:v>427.63940629426281</c:v>
                </c:pt>
                <c:pt idx="898">
                  <c:v>411.6052682154376</c:v>
                </c:pt>
                <c:pt idx="899">
                  <c:v>395.53852111847954</c:v>
                </c:pt>
                <c:pt idx="900">
                  <c:v>379.43952921243419</c:v>
                </c:pt>
                <c:pt idx="901">
                  <c:v>363.3086555149228</c:v>
                </c:pt>
                <c:pt idx="902">
                  <c:v>347.14626183605793</c:v>
                </c:pt>
                <c:pt idx="903">
                  <c:v>330.95270876261537</c:v>
                </c:pt>
                <c:pt idx="904">
                  <c:v>314.72835564246191</c:v>
                </c:pt>
                <c:pt idx="905">
                  <c:v>298.47356056924002</c:v>
                </c:pt>
                <c:pt idx="906">
                  <c:v>282.1886803673089</c:v>
                </c:pt>
                <c:pt idx="907">
                  <c:v>265.87407057694259</c:v>
                </c:pt>
                <c:pt idx="908">
                  <c:v>249.53008543978461</c:v>
                </c:pt>
                <c:pt idx="909">
                  <c:v>233.1570778845597</c:v>
                </c:pt>
                <c:pt idx="910">
                  <c:v>216.75539951304216</c:v>
                </c:pt>
                <c:pt idx="911">
                  <c:v>200.32540058628106</c:v>
                </c:pt>
                <c:pt idx="912">
                  <c:v>183.86743001108186</c:v>
                </c:pt>
                <c:pt idx="913">
                  <c:v>167.38183532674441</c:v>
                </c:pt>
                <c:pt idx="914">
                  <c:v>150.86896269205704</c:v>
                </c:pt>
                <c:pt idx="915">
                  <c:v>134.32915687254652</c:v>
                </c:pt>
                <c:pt idx="916">
                  <c:v>117.7627612279833</c:v>
                </c:pt>
                <c:pt idx="917">
                  <c:v>101.17011770014194</c:v>
                </c:pt>
                <c:pt idx="918">
                  <c:v>84.551566800816019</c:v>
                </c:pt>
                <c:pt idx="919">
                  <c:v>67.907447600087224</c:v>
                </c:pt>
                <c:pt idx="920">
                  <c:v>51.238097714847981</c:v>
                </c:pt>
                <c:pt idx="921">
                  <c:v>34.543853297577002</c:v>
                </c:pt>
                <c:pt idx="922">
                  <c:v>17.825049025367225</c:v>
                </c:pt>
                <c:pt idx="923">
                  <c:v>1.0820180892053841</c:v>
                </c:pt>
                <c:pt idx="924">
                  <c:v>-15.684907816497475</c:v>
                </c:pt>
                <c:pt idx="925">
                  <c:v>-15.701686618852097</c:v>
                </c:pt>
                <c:pt idx="926">
                  <c:v>-15.718465444606622</c:v>
                </c:pt>
                <c:pt idx="927">
                  <c:v>-15.735244293760722</c:v>
                </c:pt>
                <c:pt idx="928">
                  <c:v>-15.75202316631407</c:v>
                </c:pt>
                <c:pt idx="929">
                  <c:v>-15.768802062266339</c:v>
                </c:pt>
                <c:pt idx="930">
                  <c:v>-15.785580981617201</c:v>
                </c:pt>
                <c:pt idx="931">
                  <c:v>-15.80235992436633</c:v>
                </c:pt>
                <c:pt idx="932">
                  <c:v>-15.819138890513399</c:v>
                </c:pt>
                <c:pt idx="933">
                  <c:v>-15.835917880058078</c:v>
                </c:pt>
                <c:pt idx="934">
                  <c:v>-15.852696893000042</c:v>
                </c:pt>
                <c:pt idx="935">
                  <c:v>-15.869475929338964</c:v>
                </c:pt>
                <c:pt idx="936">
                  <c:v>-15.886254989074517</c:v>
                </c:pt>
                <c:pt idx="937">
                  <c:v>-15.903034072206372</c:v>
                </c:pt>
                <c:pt idx="938">
                  <c:v>-15.919813178734204</c:v>
                </c:pt>
                <c:pt idx="939">
                  <c:v>-15.936592308657684</c:v>
                </c:pt>
                <c:pt idx="940">
                  <c:v>-15.953371461976484</c:v>
                </c:pt>
                <c:pt idx="941">
                  <c:v>-15.97015063869028</c:v>
                </c:pt>
                <c:pt idx="942">
                  <c:v>-15.986929838798742</c:v>
                </c:pt>
                <c:pt idx="943">
                  <c:v>-16.003709062301546</c:v>
                </c:pt>
                <c:pt idx="944">
                  <c:v>-16.02048830919836</c:v>
                </c:pt>
                <c:pt idx="945">
                  <c:v>-16.037267579488862</c:v>
                </c:pt>
                <c:pt idx="946">
                  <c:v>-16.054046873172723</c:v>
                </c:pt>
                <c:pt idx="947">
                  <c:v>-16.070826190249612</c:v>
                </c:pt>
                <c:pt idx="948">
                  <c:v>-16.087605530719205</c:v>
                </c:pt>
                <c:pt idx="949">
                  <c:v>-16.104384894581177</c:v>
                </c:pt>
                <c:pt idx="950">
                  <c:v>-16.121164281835195</c:v>
                </c:pt>
                <c:pt idx="951">
                  <c:v>-16.137943692480938</c:v>
                </c:pt>
                <c:pt idx="952">
                  <c:v>-16.154723126518075</c:v>
                </c:pt>
                <c:pt idx="953">
                  <c:v>-16.171502583946282</c:v>
                </c:pt>
                <c:pt idx="954">
                  <c:v>-16.188282064765229</c:v>
                </c:pt>
                <c:pt idx="955">
                  <c:v>-16.205061568974589</c:v>
                </c:pt>
                <c:pt idx="956">
                  <c:v>-16.221841096574035</c:v>
                </c:pt>
                <c:pt idx="957">
                  <c:v>-16.238620647563241</c:v>
                </c:pt>
                <c:pt idx="958">
                  <c:v>-16.25540022194188</c:v>
                </c:pt>
                <c:pt idx="959">
                  <c:v>-16.272179819709624</c:v>
                </c:pt>
                <c:pt idx="960">
                  <c:v>-16.288959440866144</c:v>
                </c:pt>
                <c:pt idx="961">
                  <c:v>-16.305739085411115</c:v>
                </c:pt>
                <c:pt idx="962">
                  <c:v>-16.322518753344209</c:v>
                </c:pt>
                <c:pt idx="963">
                  <c:v>-16.339298444665101</c:v>
                </c:pt>
                <c:pt idx="964">
                  <c:v>-16.35607815937346</c:v>
                </c:pt>
                <c:pt idx="965">
                  <c:v>-16.372857897468961</c:v>
                </c:pt>
                <c:pt idx="966">
                  <c:v>-16.389637658951276</c:v>
                </c:pt>
                <c:pt idx="967">
                  <c:v>-16.406417443820082</c:v>
                </c:pt>
                <c:pt idx="968">
                  <c:v>-16.423197252075045</c:v>
                </c:pt>
                <c:pt idx="969">
                  <c:v>-16.439977083715842</c:v>
                </c:pt>
                <c:pt idx="970">
                  <c:v>-16.456756938742146</c:v>
                </c:pt>
                <c:pt idx="971">
                  <c:v>-16.473536817153629</c:v>
                </c:pt>
                <c:pt idx="972">
                  <c:v>-16.490316718949963</c:v>
                </c:pt>
                <c:pt idx="973">
                  <c:v>-16.507096644130822</c:v>
                </c:pt>
                <c:pt idx="974">
                  <c:v>-16.523876592695878</c:v>
                </c:pt>
                <c:pt idx="975">
                  <c:v>-16.540656564644806</c:v>
                </c:pt>
                <c:pt idx="976">
                  <c:v>-16.557436559977276</c:v>
                </c:pt>
                <c:pt idx="977">
                  <c:v>-16.574216578692962</c:v>
                </c:pt>
                <c:pt idx="978">
                  <c:v>-16.590996620791536</c:v>
                </c:pt>
                <c:pt idx="979">
                  <c:v>-16.607776686272672</c:v>
                </c:pt>
                <c:pt idx="980">
                  <c:v>-16.624556775136043</c:v>
                </c:pt>
                <c:pt idx="981">
                  <c:v>-16.641336887381321</c:v>
                </c:pt>
                <c:pt idx="982">
                  <c:v>-16.658117023008181</c:v>
                </c:pt>
                <c:pt idx="983">
                  <c:v>-16.674897182016295</c:v>
                </c:pt>
                <c:pt idx="984">
                  <c:v>-16.691677364405333</c:v>
                </c:pt>
                <c:pt idx="985">
                  <c:v>-16.708457570174971</c:v>
                </c:pt>
                <c:pt idx="986">
                  <c:v>-16.72523779932488</c:v>
                </c:pt>
                <c:pt idx="987">
                  <c:v>-16.742018051854735</c:v>
                </c:pt>
                <c:pt idx="988">
                  <c:v>-16.758798327764207</c:v>
                </c:pt>
                <c:pt idx="989">
                  <c:v>-16.775578627052969</c:v>
                </c:pt>
                <c:pt idx="990">
                  <c:v>-16.792358949720693</c:v>
                </c:pt>
                <c:pt idx="991">
                  <c:v>-16.809139295767054</c:v>
                </c:pt>
                <c:pt idx="992">
                  <c:v>-16.825919665191723</c:v>
                </c:pt>
                <c:pt idx="993">
                  <c:v>-16.842700057994374</c:v>
                </c:pt>
                <c:pt idx="994">
                  <c:v>-16.859480474174681</c:v>
                </c:pt>
                <c:pt idx="995">
                  <c:v>-16.876260913732317</c:v>
                </c:pt>
                <c:pt idx="996">
                  <c:v>-16.893041376666954</c:v>
                </c:pt>
                <c:pt idx="997">
                  <c:v>-16.909821862978262</c:v>
                </c:pt>
                <c:pt idx="998">
                  <c:v>-16.926602372665918</c:v>
                </c:pt>
                <c:pt idx="999">
                  <c:v>-16.943382905729592</c:v>
                </c:pt>
                <c:pt idx="1000">
                  <c:v>-16.960163462168957</c:v>
                </c:pt>
              </c:numCache>
            </c:numRef>
          </c:yVal>
          <c:smooth val="1"/>
          <c:extLst>
            <c:ext xmlns:c16="http://schemas.microsoft.com/office/drawing/2014/chart" uri="{C3380CC4-5D6E-409C-BE32-E72D297353CC}">
              <c16:uniqueId val="{00000001-AEC5-4DB4-900B-02E79FDE56EC}"/>
            </c:ext>
          </c:extLst>
        </c:ser>
        <c:ser>
          <c:idx val="1"/>
          <c:order val="2"/>
          <c:tx>
            <c:strRef>
              <c:f>Trajecto!$B$107</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47.400100000000343</c:v>
                </c:pt>
                <c:pt idx="926">
                  <c:v>47.400200000000346</c:v>
                </c:pt>
                <c:pt idx="927">
                  <c:v>47.40030000000035</c:v>
                </c:pt>
                <c:pt idx="928">
                  <c:v>47.400400000000353</c:v>
                </c:pt>
                <c:pt idx="929">
                  <c:v>47.400500000000356</c:v>
                </c:pt>
                <c:pt idx="930">
                  <c:v>47.40060000000036</c:v>
                </c:pt>
                <c:pt idx="931">
                  <c:v>47.400700000000363</c:v>
                </c:pt>
                <c:pt idx="932">
                  <c:v>47.400800000000366</c:v>
                </c:pt>
                <c:pt idx="933">
                  <c:v>47.40090000000037</c:v>
                </c:pt>
                <c:pt idx="934">
                  <c:v>47.401000000000373</c:v>
                </c:pt>
                <c:pt idx="935">
                  <c:v>47.401100000000376</c:v>
                </c:pt>
                <c:pt idx="936">
                  <c:v>47.401200000000379</c:v>
                </c:pt>
                <c:pt idx="937">
                  <c:v>47.401300000000383</c:v>
                </c:pt>
                <c:pt idx="938">
                  <c:v>47.401400000000386</c:v>
                </c:pt>
                <c:pt idx="939">
                  <c:v>47.401500000000389</c:v>
                </c:pt>
                <c:pt idx="940">
                  <c:v>47.401600000000393</c:v>
                </c:pt>
                <c:pt idx="941">
                  <c:v>47.401700000000396</c:v>
                </c:pt>
                <c:pt idx="942">
                  <c:v>47.401800000000399</c:v>
                </c:pt>
                <c:pt idx="943">
                  <c:v>47.401900000000403</c:v>
                </c:pt>
                <c:pt idx="944">
                  <c:v>47.402000000000406</c:v>
                </c:pt>
                <c:pt idx="945">
                  <c:v>47.402100000000409</c:v>
                </c:pt>
                <c:pt idx="946">
                  <c:v>47.402200000000413</c:v>
                </c:pt>
                <c:pt idx="947">
                  <c:v>47.402300000000416</c:v>
                </c:pt>
                <c:pt idx="948">
                  <c:v>47.402400000000419</c:v>
                </c:pt>
                <c:pt idx="949">
                  <c:v>47.402500000000423</c:v>
                </c:pt>
                <c:pt idx="950">
                  <c:v>47.402600000000426</c:v>
                </c:pt>
                <c:pt idx="951">
                  <c:v>47.402700000000429</c:v>
                </c:pt>
                <c:pt idx="952">
                  <c:v>47.402800000000433</c:v>
                </c:pt>
                <c:pt idx="953">
                  <c:v>47.402900000000436</c:v>
                </c:pt>
                <c:pt idx="954">
                  <c:v>47.403000000000439</c:v>
                </c:pt>
                <c:pt idx="955">
                  <c:v>47.403100000000443</c:v>
                </c:pt>
                <c:pt idx="956">
                  <c:v>47.403200000000446</c:v>
                </c:pt>
                <c:pt idx="957">
                  <c:v>47.403300000000449</c:v>
                </c:pt>
                <c:pt idx="958">
                  <c:v>47.403400000000453</c:v>
                </c:pt>
                <c:pt idx="959">
                  <c:v>47.403500000000456</c:v>
                </c:pt>
                <c:pt idx="960">
                  <c:v>47.403600000000459</c:v>
                </c:pt>
                <c:pt idx="961">
                  <c:v>47.403700000000462</c:v>
                </c:pt>
                <c:pt idx="962">
                  <c:v>47.403800000000466</c:v>
                </c:pt>
                <c:pt idx="963">
                  <c:v>47.403900000000469</c:v>
                </c:pt>
                <c:pt idx="964">
                  <c:v>47.404000000000472</c:v>
                </c:pt>
                <c:pt idx="965">
                  <c:v>47.404100000000476</c:v>
                </c:pt>
                <c:pt idx="966">
                  <c:v>47.404200000000479</c:v>
                </c:pt>
                <c:pt idx="967">
                  <c:v>47.404300000000482</c:v>
                </c:pt>
                <c:pt idx="968">
                  <c:v>47.404400000000486</c:v>
                </c:pt>
                <c:pt idx="969">
                  <c:v>47.404500000000489</c:v>
                </c:pt>
                <c:pt idx="970">
                  <c:v>47.404600000000492</c:v>
                </c:pt>
                <c:pt idx="971">
                  <c:v>47.404700000000496</c:v>
                </c:pt>
                <c:pt idx="972">
                  <c:v>47.404800000000499</c:v>
                </c:pt>
                <c:pt idx="973">
                  <c:v>47.404900000000502</c:v>
                </c:pt>
                <c:pt idx="974">
                  <c:v>47.405000000000506</c:v>
                </c:pt>
                <c:pt idx="975">
                  <c:v>47.405100000000509</c:v>
                </c:pt>
                <c:pt idx="976">
                  <c:v>47.405200000000512</c:v>
                </c:pt>
                <c:pt idx="977">
                  <c:v>47.405300000000516</c:v>
                </c:pt>
                <c:pt idx="978">
                  <c:v>47.405400000000519</c:v>
                </c:pt>
                <c:pt idx="979">
                  <c:v>47.405500000000522</c:v>
                </c:pt>
                <c:pt idx="980">
                  <c:v>47.405600000000526</c:v>
                </c:pt>
                <c:pt idx="981">
                  <c:v>47.405700000000529</c:v>
                </c:pt>
                <c:pt idx="982">
                  <c:v>47.405800000000532</c:v>
                </c:pt>
                <c:pt idx="983">
                  <c:v>47.405900000000535</c:v>
                </c:pt>
                <c:pt idx="984">
                  <c:v>47.406000000000539</c:v>
                </c:pt>
                <c:pt idx="985">
                  <c:v>47.406100000000542</c:v>
                </c:pt>
                <c:pt idx="986">
                  <c:v>47.406200000000545</c:v>
                </c:pt>
                <c:pt idx="987">
                  <c:v>47.406300000000549</c:v>
                </c:pt>
                <c:pt idx="988">
                  <c:v>47.406400000000552</c:v>
                </c:pt>
                <c:pt idx="989">
                  <c:v>47.406500000000555</c:v>
                </c:pt>
                <c:pt idx="990">
                  <c:v>47.406600000000559</c:v>
                </c:pt>
                <c:pt idx="991">
                  <c:v>47.406700000000562</c:v>
                </c:pt>
                <c:pt idx="992">
                  <c:v>47.406800000000565</c:v>
                </c:pt>
                <c:pt idx="993">
                  <c:v>47.406900000000569</c:v>
                </c:pt>
                <c:pt idx="994">
                  <c:v>47.407000000000572</c:v>
                </c:pt>
                <c:pt idx="995">
                  <c:v>47.407100000000575</c:v>
                </c:pt>
                <c:pt idx="996">
                  <c:v>47.407200000000579</c:v>
                </c:pt>
                <c:pt idx="997">
                  <c:v>47.407300000000582</c:v>
                </c:pt>
                <c:pt idx="998">
                  <c:v>47.407400000000585</c:v>
                </c:pt>
                <c:pt idx="999">
                  <c:v>47.407500000000589</c:v>
                </c:pt>
                <c:pt idx="1000">
                  <c:v>47.407600000000592</c:v>
                </c:pt>
              </c:numCache>
            </c:numRef>
          </c:xVal>
          <c:yVal>
            <c:numRef>
              <c:f>Calculs!$K$4:$K$1004</c:f>
              <c:numCache>
                <c:formatCode>0.00</c:formatCode>
                <c:ptCount val="1001"/>
                <c:pt idx="0">
                  <c:v>0</c:v>
                </c:pt>
                <c:pt idx="1">
                  <c:v>3.6937359344706394E-4</c:v>
                </c:pt>
                <c:pt idx="2">
                  <c:v>2.409843196968374E-3</c:v>
                </c:pt>
                <c:pt idx="3">
                  <c:v>7.440741493872579E-3</c:v>
                </c:pt>
                <c:pt idx="4">
                  <c:v>1.623630438492359E-2</c:v>
                </c:pt>
                <c:pt idx="5">
                  <c:v>2.9571348273326512E-2</c:v>
                </c:pt>
                <c:pt idx="6">
                  <c:v>4.8221358059421959E-2</c:v>
                </c:pt>
                <c:pt idx="7">
                  <c:v>7.296257457439749E-2</c:v>
                </c:pt>
                <c:pt idx="8">
                  <c:v>0.10457208148333813</c:v>
                </c:pt>
                <c:pt idx="9">
                  <c:v>0.1438278916872418</c:v>
                </c:pt>
                <c:pt idx="10">
                  <c:v>0.19150903325295746</c:v>
                </c:pt>
                <c:pt idx="11">
                  <c:v>0.24817296831150651</c:v>
                </c:pt>
                <c:pt idx="12">
                  <c:v>0.31393252335261035</c:v>
                </c:pt>
                <c:pt idx="13">
                  <c:v>0.38867618672903692</c:v>
                </c:pt>
                <c:pt idx="14">
                  <c:v>0.47228885012694549</c:v>
                </c:pt>
                <c:pt idx="15">
                  <c:v>0.56465350225469901</c:v>
                </c:pt>
                <c:pt idx="16">
                  <c:v>0.66565292596421655</c:v>
                </c:pt>
                <c:pt idx="17">
                  <c:v>0.77516970154074527</c:v>
                </c:pt>
                <c:pt idx="18">
                  <c:v>0.8930862099908885</c:v>
                </c:pt>
                <c:pt idx="19">
                  <c:v>1.0192846363284953</c:v>
                </c:pt>
                <c:pt idx="20">
                  <c:v>1.1536469728580168</c:v>
                </c:pt>
                <c:pt idx="21">
                  <c:v>1.2960550224549374</c:v>
                </c:pt>
                <c:pt idx="22">
                  <c:v>1.4463904018428917</c:v>
                </c:pt>
                <c:pt idx="23">
                  <c:v>1.6045345448670789</c:v>
                </c:pt>
                <c:pt idx="24">
                  <c:v>1.7703687057635917</c:v>
                </c:pt>
                <c:pt idx="25">
                  <c:v>1.9437739624242751</c:v>
                </c:pt>
                <c:pt idx="26">
                  <c:v>2.1246312196567372</c:v>
                </c:pt>
                <c:pt idx="27">
                  <c:v>2.3128511191445789</c:v>
                </c:pt>
                <c:pt idx="28">
                  <c:v>2.5084039963978619</c:v>
                </c:pt>
                <c:pt idx="29">
                  <c:v>2.7112900453318853</c:v>
                </c:pt>
                <c:pt idx="30">
                  <c:v>2.9215094342123353</c:v>
                </c:pt>
                <c:pt idx="31">
                  <c:v>3.1390623056262128</c:v>
                </c:pt>
                <c:pt idx="32">
                  <c:v>3.3639487764531877</c:v>
                </c:pt>
                <c:pt idx="33">
                  <c:v>3.596168937837386</c:v>
                </c:pt>
                <c:pt idx="34">
                  <c:v>3.8357228551596076</c:v>
                </c:pt>
                <c:pt idx="35">
                  <c:v>4.0826105680099767</c:v>
                </c:pt>
                <c:pt idx="36">
                  <c:v>4.336817293532202</c:v>
                </c:pt>
                <c:pt idx="37">
                  <c:v>4.5983277538632219</c:v>
                </c:pt>
                <c:pt idx="38">
                  <c:v>4.8671409756608819</c:v>
                </c:pt>
                <c:pt idx="39">
                  <c:v>5.1432559719222475</c:v>
                </c:pt>
                <c:pt idx="40">
                  <c:v>5.4266717479223958</c:v>
                </c:pt>
                <c:pt idx="41">
                  <c:v>5.7173873003768731</c:v>
                </c:pt>
                <c:pt idx="42">
                  <c:v>6.0154016166609923</c:v>
                </c:pt>
                <c:pt idx="43">
                  <c:v>6.3207136740807677</c:v>
                </c:pt>
                <c:pt idx="44">
                  <c:v>6.6333224391908958</c:v>
                </c:pt>
                <c:pt idx="45">
                  <c:v>6.9532268671556769</c:v>
                </c:pt>
                <c:pt idx="46">
                  <c:v>7.2804259011492434</c:v>
                </c:pt>
                <c:pt idx="47">
                  <c:v>7.6149184717918317</c:v>
                </c:pt>
                <c:pt idx="48">
                  <c:v>7.9567034966191779</c:v>
                </c:pt>
                <c:pt idx="49">
                  <c:v>8.3057798795824134</c:v>
                </c:pt>
                <c:pt idx="50">
                  <c:v>8.6621465105761057</c:v>
                </c:pt>
                <c:pt idx="51">
                  <c:v>9.0258022649923042</c:v>
                </c:pt>
                <c:pt idx="52">
                  <c:v>9.39674600329867</c:v>
                </c:pt>
                <c:pt idx="53">
                  <c:v>9.7749765706389393</c:v>
                </c:pt>
                <c:pt idx="54">
                  <c:v>10.160492796454141</c:v>
                </c:pt>
                <c:pt idx="55">
                  <c:v>10.553293494123118</c:v>
                </c:pt>
                <c:pt idx="56">
                  <c:v>10.953377460621033</c:v>
                </c:pt>
                <c:pt idx="57">
                  <c:v>11.36074347619468</c:v>
                </c:pt>
                <c:pt idx="58">
                  <c:v>11.775390304053468</c:v>
                </c:pt>
                <c:pt idx="59">
                  <c:v>12.197316690075109</c:v>
                </c:pt>
                <c:pt idx="60">
                  <c:v>12.626521362525043</c:v>
                </c:pt>
                <c:pt idx="61">
                  <c:v>13.063003031788798</c:v>
                </c:pt>
                <c:pt idx="62">
                  <c:v>13.506760390116462</c:v>
                </c:pt>
                <c:pt idx="63">
                  <c:v>13.957792111378586</c:v>
                </c:pt>
                <c:pt idx="64">
                  <c:v>14.416096850832806</c:v>
                </c:pt>
                <c:pt idx="65">
                  <c:v>14.88167324490062</c:v>
                </c:pt>
                <c:pt idx="66">
                  <c:v>15.354519910953712</c:v>
                </c:pt>
                <c:pt idx="67">
                  <c:v>15.834635447109322</c:v>
                </c:pt>
                <c:pt idx="68">
                  <c:v>16.322018432034156</c:v>
                </c:pt>
                <c:pt idx="69">
                  <c:v>16.816667424756393</c:v>
                </c:pt>
                <c:pt idx="70">
                  <c:v>17.318580964485363</c:v>
                </c:pt>
                <c:pt idx="71">
                  <c:v>17.827757570438511</c:v>
                </c:pt>
                <c:pt idx="72">
                  <c:v>18.344195401050573</c:v>
                </c:pt>
                <c:pt idx="73">
                  <c:v>18.867891912765909</c:v>
                </c:pt>
                <c:pt idx="74">
                  <c:v>19.398844199907973</c:v>
                </c:pt>
                <c:pt idx="75">
                  <c:v>19.937049334983051</c:v>
                </c:pt>
                <c:pt idx="76">
                  <c:v>20.482504368548444</c:v>
                </c:pt>
                <c:pt idx="77">
                  <c:v>21.035206329086257</c:v>
                </c:pt>
                <c:pt idx="78">
                  <c:v>21.595152222882575</c:v>
                </c:pt>
                <c:pt idx="79">
                  <c:v>22.162339033911731</c:v>
                </c:pt>
                <c:pt idx="80">
                  <c:v>22.736763723725492</c:v>
                </c:pt>
                <c:pt idx="81">
                  <c:v>23.318423231346934</c:v>
                </c:pt>
                <c:pt idx="82">
                  <c:v>23.907314473168796</c:v>
                </c:pt>
                <c:pt idx="83">
                  <c:v>24.503434342856153</c:v>
                </c:pt>
                <c:pt idx="84">
                  <c:v>25.106779711253207</c:v>
                </c:pt>
                <c:pt idx="85">
                  <c:v>25.717347426294037</c:v>
                </c:pt>
                <c:pt idx="86">
                  <c:v>26.335134312917177</c:v>
                </c:pt>
                <c:pt idx="87">
                  <c:v>26.960137172983831</c:v>
                </c:pt>
                <c:pt idx="88">
                  <c:v>27.592352785199633</c:v>
                </c:pt>
                <c:pt idx="89">
                  <c:v>28.23177790503977</c:v>
                </c:pt>
                <c:pt idx="90">
                  <c:v>28.878409264677394</c:v>
                </c:pt>
                <c:pt idx="91">
                  <c:v>29.532243572915171</c:v>
                </c:pt>
                <c:pt idx="92">
                  <c:v>30.193277515119874</c:v>
                </c:pt>
                <c:pt idx="93">
                  <c:v>30.861507753159898</c:v>
                </c:pt>
                <c:pt idx="94">
                  <c:v>31.536930925345615</c:v>
                </c:pt>
                <c:pt idx="95">
                  <c:v>32.219543646372458</c:v>
                </c:pt>
                <c:pt idx="96">
                  <c:v>32.909342507266665</c:v>
                </c:pt>
                <c:pt idx="97">
                  <c:v>33.606324075333561</c:v>
                </c:pt>
                <c:pt idx="98">
                  <c:v>34.310484894108342</c:v>
                </c:pt>
                <c:pt idx="99">
                  <c:v>35.021821483309246</c:v>
                </c:pt>
                <c:pt idx="100">
                  <c:v>35.740330338793065</c:v>
                </c:pt>
                <c:pt idx="101">
                  <c:v>36.466007932512895</c:v>
                </c:pt>
                <c:pt idx="102">
                  <c:v>37.198850712478098</c:v>
                </c:pt>
                <c:pt idx="103">
                  <c:v>37.938855102716381</c:v>
                </c:pt>
                <c:pt idx="104">
                  <c:v>38.686017503237935</c:v>
                </c:pt>
                <c:pt idx="105">
                  <c:v>39.440334290001601</c:v>
                </c:pt>
                <c:pt idx="106">
                  <c:v>40.201801814882984</c:v>
                </c:pt>
                <c:pt idx="107">
                  <c:v>40.970416405644443</c:v>
                </c:pt>
                <c:pt idx="108">
                  <c:v>41.74617436590696</c:v>
                </c:pt>
                <c:pt idx="109">
                  <c:v>42.529071975123799</c:v>
                </c:pt>
                <c:pt idx="110">
                  <c:v>43.319105488555927</c:v>
                </c:pt>
                <c:pt idx="111">
                  <c:v>44.116271137249136</c:v>
                </c:pt>
                <c:pt idx="112">
                  <c:v>44.920565128012832</c:v>
                </c:pt>
                <c:pt idx="113">
                  <c:v>45.731983643400469</c:v>
                </c:pt>
                <c:pt idx="114">
                  <c:v>46.550522841691546</c:v>
                </c:pt>
                <c:pt idx="115">
                  <c:v>47.376178856875185</c:v>
                </c:pt>
                <c:pt idx="116">
                  <c:v>48.208947798635201</c:v>
                </c:pt>
                <c:pt idx="117">
                  <c:v>49.048825752336661</c:v>
                </c:pt>
                <c:pt idx="118">
                  <c:v>49.895808779013905</c:v>
                </c:pt>
                <c:pt idx="119">
                  <c:v>50.749892915359951</c:v>
                </c:pt>
                <c:pt idx="120">
                  <c:v>51.611074173717334</c:v>
                </c:pt>
                <c:pt idx="121">
                  <c:v>52.479348542070248</c:v>
                </c:pt>
                <c:pt idx="122">
                  <c:v>53.354711984038062</c:v>
                </c:pt>
                <c:pt idx="123">
                  <c:v>54.237160438870106</c:v>
                </c:pt>
                <c:pt idx="124">
                  <c:v>55.126689821441772</c:v>
                </c:pt>
                <c:pt idx="125">
                  <c:v>56.023296022251806</c:v>
                </c:pt>
                <c:pt idx="126">
                  <c:v>56.926974907420878</c:v>
                </c:pt>
                <c:pt idx="127">
                  <c:v>57.837722318691327</c:v>
                </c:pt>
                <c:pt idx="128">
                  <c:v>58.755534073428123</c:v>
                </c:pt>
                <c:pt idx="129">
                  <c:v>59.680404399144614</c:v>
                </c:pt>
                <c:pt idx="130">
                  <c:v>60.612324366313949</c:v>
                </c:pt>
                <c:pt idx="131">
                  <c:v>61.551283451619859</c:v>
                </c:pt>
                <c:pt idx="132">
                  <c:v>62.497271102957384</c:v>
                </c:pt>
                <c:pt idx="133">
                  <c:v>63.45027673950603</c:v>
                </c:pt>
                <c:pt idx="134">
                  <c:v>64.410289751804186</c:v>
                </c:pt>
                <c:pt idx="135">
                  <c:v>65.377299501824808</c:v>
                </c:pt>
                <c:pt idx="136">
                  <c:v>66.351295323052284</c:v>
                </c:pt>
                <c:pt idx="137">
                  <c:v>67.332266520560481</c:v>
                </c:pt>
                <c:pt idx="138">
                  <c:v>68.320202371092023</c:v>
                </c:pt>
                <c:pt idx="139">
                  <c:v>69.315092123138626</c:v>
                </c:pt>
                <c:pt idx="140">
                  <c:v>70.31692499702261</c:v>
                </c:pt>
                <c:pt idx="141">
                  <c:v>71.325690184979493</c:v>
                </c:pt>
                <c:pt idx="142">
                  <c:v>72.34137685124162</c:v>
                </c:pt>
                <c:pt idx="143">
                  <c:v>73.36397413212292</c:v>
                </c:pt>
                <c:pt idx="144">
                  <c:v>74.393471136104637</c:v>
                </c:pt>
                <c:pt idx="145">
                  <c:v>75.429856943922118</c:v>
                </c:pt>
                <c:pt idx="146">
                  <c:v>76.473120608652536</c:v>
                </c:pt>
                <c:pt idx="147">
                  <c:v>77.523251155803649</c:v>
                </c:pt>
                <c:pt idx="148">
                  <c:v>78.580237583403516</c:v>
                </c:pt>
                <c:pt idx="149">
                  <c:v>79.644068862091089</c:v>
                </c:pt>
                <c:pt idx="150">
                  <c:v>80.714733935207803</c:v>
                </c:pt>
                <c:pt idx="151">
                  <c:v>81.792221718890033</c:v>
                </c:pt>
                <c:pt idx="152">
                  <c:v>82.876521102162428</c:v>
                </c:pt>
                <c:pt idx="153">
                  <c:v>83.96762094703216</c:v>
                </c:pt>
                <c:pt idx="154">
                  <c:v>85.065510088583991</c:v>
                </c:pt>
                <c:pt idx="155">
                  <c:v>86.170177335076204</c:v>
                </c:pt>
                <c:pt idx="156">
                  <c:v>87.28161146803734</c:v>
                </c:pt>
                <c:pt idx="157">
                  <c:v>88.399801242363779</c:v>
                </c:pt>
                <c:pt idx="158">
                  <c:v>89.524735386418087</c:v>
                </c:pt>
                <c:pt idx="159">
                  <c:v>90.656402602128168</c:v>
                </c:pt>
                <c:pt idx="160">
                  <c:v>91.794791565087138</c:v>
                </c:pt>
                <c:pt idx="161">
                  <c:v>92.939890924654023</c:v>
                </c:pt>
                <c:pt idx="162">
                  <c:v>94.091689304055166</c:v>
                </c:pt>
                <c:pt idx="163">
                  <c:v>95.250175300486362</c:v>
                </c:pt>
                <c:pt idx="164">
                  <c:v>96.415337485215687</c:v>
                </c:pt>
                <c:pt idx="165">
                  <c:v>97.587164403687083</c:v>
                </c:pt>
                <c:pt idx="166">
                  <c:v>98.765644575624592</c:v>
                </c:pt>
                <c:pt idx="167">
                  <c:v>99.950766495137273</c:v>
                </c:pt>
                <c:pt idx="168">
                  <c:v>101.14251863082478</c:v>
                </c:pt>
                <c:pt idx="169">
                  <c:v>102.34088942588367</c:v>
                </c:pt>
                <c:pt idx="170">
                  <c:v>103.54586729821423</c:v>
                </c:pt>
                <c:pt idx="171">
                  <c:v>104.75744064052802</c:v>
                </c:pt>
                <c:pt idx="172">
                  <c:v>105.975597820456</c:v>
                </c:pt>
                <c:pt idx="173">
                  <c:v>107.20032718065733</c:v>
                </c:pt>
                <c:pt idx="174">
                  <c:v>108.43161703892868</c:v>
                </c:pt>
                <c:pt idx="175">
                  <c:v>109.66945568831419</c:v>
                </c:pt>
                <c:pt idx="176">
                  <c:v>110.91383139721597</c:v>
                </c:pt>
                <c:pt idx="177">
                  <c:v>112.16473240950522</c:v>
                </c:pt>
                <c:pt idx="178">
                  <c:v>113.42214694463382</c:v>
                </c:pt>
                <c:pt idx="179">
                  <c:v>114.68606319774661</c:v>
                </c:pt>
                <c:pt idx="180">
                  <c:v>115.956469339794</c:v>
                </c:pt>
                <c:pt idx="181">
                  <c:v>117.23335351764533</c:v>
                </c:pt>
                <c:pt idx="182">
                  <c:v>118.5167038542026</c:v>
                </c:pt>
                <c:pt idx="183">
                  <c:v>119.80650844851476</c:v>
                </c:pt>
                <c:pt idx="184">
                  <c:v>121.1027553758925</c:v>
                </c:pt>
                <c:pt idx="185">
                  <c:v>122.4054326880235</c:v>
                </c:pt>
                <c:pt idx="186">
                  <c:v>123.71452841308822</c:v>
                </c:pt>
                <c:pt idx="187">
                  <c:v>125.0300305558761</c:v>
                </c:pt>
                <c:pt idx="188">
                  <c:v>126.35192709790223</c:v>
                </c:pt>
                <c:pt idx="189">
                  <c:v>127.68020599752458</c:v>
                </c:pt>
                <c:pt idx="190">
                  <c:v>129.0148551900615</c:v>
                </c:pt>
                <c:pt idx="191">
                  <c:v>130.35586258790974</c:v>
                </c:pt>
                <c:pt idx="192">
                  <c:v>131.70321608066297</c:v>
                </c:pt>
                <c:pt idx="193">
                  <c:v>133.05690353523062</c:v>
                </c:pt>
                <c:pt idx="194">
                  <c:v>134.41691279595719</c:v>
                </c:pt>
                <c:pt idx="195">
                  <c:v>135.78323168474185</c:v>
                </c:pt>
                <c:pt idx="196">
                  <c:v>137.15584800115866</c:v>
                </c:pt>
                <c:pt idx="197">
                  <c:v>138.53474952257696</c:v>
                </c:pt>
                <c:pt idx="198">
                  <c:v>139.91992400428219</c:v>
                </c:pt>
                <c:pt idx="199">
                  <c:v>141.31135917959716</c:v>
                </c:pt>
                <c:pt idx="200">
                  <c:v>142.70904276000368</c:v>
                </c:pt>
                <c:pt idx="201">
                  <c:v>144.11296243526439</c:v>
                </c:pt>
                <c:pt idx="202">
                  <c:v>145.52310587354515</c:v>
                </c:pt>
                <c:pt idx="203">
                  <c:v>146.93946072153759</c:v>
                </c:pt>
                <c:pt idx="204">
                  <c:v>148.36201460458213</c:v>
                </c:pt>
                <c:pt idx="205">
                  <c:v>149.79075512679125</c:v>
                </c:pt>
                <c:pt idx="206">
                  <c:v>151.22566949051395</c:v>
                </c:pt>
                <c:pt idx="207">
                  <c:v>152.66674411552015</c:v>
                </c:pt>
                <c:pt idx="208">
                  <c:v>154.11396501950296</c:v>
                </c:pt>
                <c:pt idx="209">
                  <c:v>155.56731819887074</c:v>
                </c:pt>
                <c:pt idx="210">
                  <c:v>157.02678962889007</c:v>
                </c:pt>
                <c:pt idx="211">
                  <c:v>158.49236526382896</c:v>
                </c:pt>
                <c:pt idx="212">
                  <c:v>159.96403103710037</c:v>
                </c:pt>
                <c:pt idx="213">
                  <c:v>161.44177286140587</c:v>
                </c:pt>
                <c:pt idx="214">
                  <c:v>162.92557662887964</c:v>
                </c:pt>
                <c:pt idx="215">
                  <c:v>164.41542821123264</c:v>
                </c:pt>
                <c:pt idx="216">
                  <c:v>165.91131345989692</c:v>
                </c:pt>
                <c:pt idx="217">
                  <c:v>167.41321820617031</c:v>
                </c:pt>
                <c:pt idx="218">
                  <c:v>168.92112826136116</c:v>
                </c:pt>
                <c:pt idx="219">
                  <c:v>170.43502941693336</c:v>
                </c:pt>
                <c:pt idx="220">
                  <c:v>171.95490744465144</c:v>
                </c:pt>
                <c:pt idx="221">
                  <c:v>173.48074809672596</c:v>
                </c:pt>
                <c:pt idx="222">
                  <c:v>175.01253710595907</c:v>
                </c:pt>
                <c:pt idx="223">
                  <c:v>176.5502601858901</c:v>
                </c:pt>
                <c:pt idx="224">
                  <c:v>178.09390303094145</c:v>
                </c:pt>
                <c:pt idx="225">
                  <c:v>179.64345131656452</c:v>
                </c:pt>
                <c:pt idx="226">
                  <c:v>181.19889069938594</c:v>
                </c:pt>
                <c:pt idx="227">
                  <c:v>182.76020681735366</c:v>
                </c:pt>
                <c:pt idx="228">
                  <c:v>184.32738528988347</c:v>
                </c:pt>
                <c:pt idx="229">
                  <c:v>185.90041171800542</c:v>
                </c:pt>
                <c:pt idx="230">
                  <c:v>187.47927168451051</c:v>
                </c:pt>
                <c:pt idx="231">
                  <c:v>189.06395075409728</c:v>
                </c:pt>
                <c:pt idx="232">
                  <c:v>190.65443447351876</c:v>
                </c:pt>
                <c:pt idx="233">
                  <c:v>192.2507083717293</c:v>
                </c:pt>
                <c:pt idx="234">
                  <c:v>193.8527579600316</c:v>
                </c:pt>
                <c:pt idx="235">
                  <c:v>195.46056873222372</c:v>
                </c:pt>
                <c:pt idx="236">
                  <c:v>197.0741261647463</c:v>
                </c:pt>
                <c:pt idx="237">
                  <c:v>198.69341571682972</c:v>
                </c:pt>
                <c:pt idx="238">
                  <c:v>200.31842283064137</c:v>
                </c:pt>
                <c:pt idx="239">
                  <c:v>201.94913293143298</c:v>
                </c:pt>
                <c:pt idx="240">
                  <c:v>203.58553142768801</c:v>
                </c:pt>
                <c:pt idx="241">
                  <c:v>205.22760371126896</c:v>
                </c:pt>
                <c:pt idx="242">
                  <c:v>206.87533384250113</c:v>
                </c:pt>
                <c:pt idx="243">
                  <c:v>208.52870323452919</c:v>
                </c:pt>
                <c:pt idx="244">
                  <c:v>210.1876919680021</c:v>
                </c:pt>
                <c:pt idx="245">
                  <c:v>211.85228010651844</c:v>
                </c:pt>
                <c:pt idx="246">
                  <c:v>213.52244769683969</c:v>
                </c:pt>
                <c:pt idx="247">
                  <c:v>215.19817476910347</c:v>
                </c:pt>
                <c:pt idx="248">
                  <c:v>216.87944133703644</c:v>
                </c:pt>
                <c:pt idx="249">
                  <c:v>218.56622739816703</c:v>
                </c:pt>
                <c:pt idx="250">
                  <c:v>220.25851293403795</c:v>
                </c:pt>
                <c:pt idx="251">
                  <c:v>221.95627791041844</c:v>
                </c:pt>
                <c:pt idx="252">
                  <c:v>223.65950227751628</c:v>
                </c:pt>
                <c:pt idx="253">
                  <c:v>225.36816597018955</c:v>
                </c:pt>
                <c:pt idx="254">
                  <c:v>227.08224890815805</c:v>
                </c:pt>
                <c:pt idx="255">
                  <c:v>228.80173099621453</c:v>
                </c:pt>
                <c:pt idx="256">
                  <c:v>230.52659212443558</c:v>
                </c:pt>
                <c:pt idx="257">
                  <c:v>232.25681216839226</c:v>
                </c:pt>
                <c:pt idx="258">
                  <c:v>233.99237098936038</c:v>
                </c:pt>
                <c:pt idx="259">
                  <c:v>235.73324843453059</c:v>
                </c:pt>
                <c:pt idx="260">
                  <c:v>237.47942433721792</c:v>
                </c:pt>
                <c:pt idx="261">
                  <c:v>239.23087851707126</c:v>
                </c:pt>
                <c:pt idx="262">
                  <c:v>240.98759078028229</c:v>
                </c:pt>
                <c:pt idx="263">
                  <c:v>242.74954091979419</c:v>
                </c:pt>
                <c:pt idx="264">
                  <c:v>244.51670871550996</c:v>
                </c:pt>
                <c:pt idx="265">
                  <c:v>246.28907393450035</c:v>
                </c:pt>
                <c:pt idx="266">
                  <c:v>248.06661633121146</c:v>
                </c:pt>
                <c:pt idx="267">
                  <c:v>249.849315647672</c:v>
                </c:pt>
                <c:pt idx="268">
                  <c:v>251.63715161370007</c:v>
                </c:pt>
                <c:pt idx="269">
                  <c:v>253.43010394710961</c:v>
                </c:pt>
                <c:pt idx="270">
                  <c:v>255.22815235391644</c:v>
                </c:pt>
                <c:pt idx="271">
                  <c:v>257.03127652854391</c:v>
                </c:pt>
                <c:pt idx="272">
                  <c:v>258.83945615402814</c:v>
                </c:pt>
                <c:pt idx="273">
                  <c:v>260.65267090222278</c:v>
                </c:pt>
                <c:pt idx="274">
                  <c:v>262.4709004340034</c:v>
                </c:pt>
                <c:pt idx="275">
                  <c:v>264.29412439947146</c:v>
                </c:pt>
                <c:pt idx="276">
                  <c:v>266.12232243815777</c:v>
                </c:pt>
                <c:pt idx="277">
                  <c:v>267.95547417922546</c:v>
                </c:pt>
                <c:pt idx="278">
                  <c:v>269.79355924167282</c:v>
                </c:pt>
                <c:pt idx="279">
                  <c:v>271.63655723453513</c:v>
                </c:pt>
                <c:pt idx="280">
                  <c:v>273.48444775708651</c:v>
                </c:pt>
                <c:pt idx="281">
                  <c:v>275.337210399041</c:v>
                </c:pt>
                <c:pt idx="282">
                  <c:v>277.1948247407534</c:v>
                </c:pt>
                <c:pt idx="283">
                  <c:v>279.05727035341931</c:v>
                </c:pt>
                <c:pt idx="284">
                  <c:v>280.92452834216084</c:v>
                </c:pt>
                <c:pt idx="285">
                  <c:v>282.79658288957563</c:v>
                </c:pt>
                <c:pt idx="286">
                  <c:v>284.67341971298526</c:v>
                </c:pt>
                <c:pt idx="287">
                  <c:v>286.55502452118424</c:v>
                </c:pt>
                <c:pt idx="288">
                  <c:v>288.44138301456792</c:v>
                </c:pt>
                <c:pt idx="289">
                  <c:v>290.33248088525988</c:v>
                </c:pt>
                <c:pt idx="290">
                  <c:v>292.22830381723946</c:v>
                </c:pt>
                <c:pt idx="291">
                  <c:v>294.1288374864688</c:v>
                </c:pt>
                <c:pt idx="292">
                  <c:v>296.03406756101958</c:v>
                </c:pt>
                <c:pt idx="293">
                  <c:v>297.94397970119991</c:v>
                </c:pt>
                <c:pt idx="294">
                  <c:v>299.85855955968071</c:v>
                </c:pt>
                <c:pt idx="295">
                  <c:v>301.77779278162183</c:v>
                </c:pt>
                <c:pt idx="296">
                  <c:v>303.70166500479814</c:v>
                </c:pt>
                <c:pt idx="297">
                  <c:v>305.63016185972509</c:v>
                </c:pt>
                <c:pt idx="298">
                  <c:v>307.56326896978442</c:v>
                </c:pt>
                <c:pt idx="299">
                  <c:v>309.50097195134913</c:v>
                </c:pt>
                <c:pt idx="300">
                  <c:v>311.44325641390867</c:v>
                </c:pt>
                <c:pt idx="301">
                  <c:v>313.39010796019357</c:v>
                </c:pt>
                <c:pt idx="302">
                  <c:v>315.34151218629989</c:v>
                </c:pt>
                <c:pt idx="303">
                  <c:v>317.29745468181352</c:v>
                </c:pt>
                <c:pt idx="304">
                  <c:v>319.25792102993404</c:v>
                </c:pt>
                <c:pt idx="305">
                  <c:v>321.22289680759832</c:v>
                </c:pt>
                <c:pt idx="306">
                  <c:v>323.19236758560413</c:v>
                </c:pt>
                <c:pt idx="307">
                  <c:v>325.16631892873306</c:v>
                </c:pt>
                <c:pt idx="308">
                  <c:v>327.14473639587351</c:v>
                </c:pt>
                <c:pt idx="309">
                  <c:v>329.12760554014312</c:v>
                </c:pt>
                <c:pt idx="310">
                  <c:v>331.1149119090112</c:v>
                </c:pt>
                <c:pt idx="311">
                  <c:v>333.1066410444206</c:v>
                </c:pt>
                <c:pt idx="312">
                  <c:v>335.10277848290946</c:v>
                </c:pt>
                <c:pt idx="313">
                  <c:v>337.1033097557326</c:v>
                </c:pt>
                <c:pt idx="314">
                  <c:v>339.10822038898272</c:v>
                </c:pt>
                <c:pt idx="315">
                  <c:v>341.11749590371107</c:v>
                </c:pt>
                <c:pt idx="316">
                  <c:v>343.13112181604811</c:v>
                </c:pt>
                <c:pt idx="317">
                  <c:v>345.1490836373236</c:v>
                </c:pt>
                <c:pt idx="318">
                  <c:v>347.17136687418656</c:v>
                </c:pt>
                <c:pt idx="319">
                  <c:v>349.19795702872483</c:v>
                </c:pt>
                <c:pt idx="320">
                  <c:v>351.22883959858433</c:v>
                </c:pt>
                <c:pt idx="321">
                  <c:v>353.26400007708804</c:v>
                </c:pt>
                <c:pt idx="322">
                  <c:v>355.30342395335464</c:v>
                </c:pt>
                <c:pt idx="323">
                  <c:v>357.34709671241683</c:v>
                </c:pt>
                <c:pt idx="324">
                  <c:v>359.39500383533931</c:v>
                </c:pt>
                <c:pt idx="325">
                  <c:v>361.44713079933638</c:v>
                </c:pt>
                <c:pt idx="326">
                  <c:v>363.50346317260096</c:v>
                </c:pt>
                <c:pt idx="327">
                  <c:v>365.56398670914376</c:v>
                </c:pt>
                <c:pt idx="328">
                  <c:v>367.62868725416229</c:v>
                </c:pt>
                <c:pt idx="329">
                  <c:v>369.69755064939744</c:v>
                </c:pt>
                <c:pt idx="330">
                  <c:v>371.77056273324575</c:v>
                </c:pt>
                <c:pt idx="331">
                  <c:v>373.84770934087157</c:v>
                </c:pt>
                <c:pt idx="332">
                  <c:v>375.92897630431889</c:v>
                </c:pt>
                <c:pt idx="333">
                  <c:v>378.01434945262264</c:v>
                </c:pt>
                <c:pt idx="334">
                  <c:v>380.10381461191986</c:v>
                </c:pt>
                <c:pt idx="335">
                  <c:v>382.1973576055604</c:v>
                </c:pt>
                <c:pt idx="336">
                  <c:v>384.29496425421752</c:v>
                </c:pt>
                <c:pt idx="337">
                  <c:v>386.39662037599777</c:v>
                </c:pt>
                <c:pt idx="338">
                  <c:v>388.50231178655082</c:v>
                </c:pt>
                <c:pt idx="339">
                  <c:v>390.61202429917893</c:v>
                </c:pt>
                <c:pt idx="340">
                  <c:v>392.72574372494597</c:v>
                </c:pt>
                <c:pt idx="341">
                  <c:v>394.84345587278608</c:v>
                </c:pt>
                <c:pt idx="342">
                  <c:v>396.96514654961214</c:v>
                </c:pt>
                <c:pt idx="343">
                  <c:v>399.09080156042364</c:v>
                </c:pt>
                <c:pt idx="344">
                  <c:v>401.22040670841454</c:v>
                </c:pt>
                <c:pt idx="345">
                  <c:v>403.35394779508039</c:v>
                </c:pt>
                <c:pt idx="346">
                  <c:v>405.49141062032538</c:v>
                </c:pt>
                <c:pt idx="347">
                  <c:v>407.63278098256893</c:v>
                </c:pt>
                <c:pt idx="348">
                  <c:v>409.77804467885187</c:v>
                </c:pt>
                <c:pt idx="349">
                  <c:v>411.92718750494231</c:v>
                </c:pt>
                <c:pt idx="350">
                  <c:v>414.0801952554412</c:v>
                </c:pt>
                <c:pt idx="351">
                  <c:v>416.23705372388736</c:v>
                </c:pt>
                <c:pt idx="352">
                  <c:v>418.39774870286237</c:v>
                </c:pt>
                <c:pt idx="353">
                  <c:v>420.56226598409489</c:v>
                </c:pt>
                <c:pt idx="354">
                  <c:v>422.73059135856465</c:v>
                </c:pt>
                <c:pt idx="355">
                  <c:v>424.90271061660616</c:v>
                </c:pt>
                <c:pt idx="356">
                  <c:v>427.07860954801197</c:v>
                </c:pt>
                <c:pt idx="357">
                  <c:v>429.25827394213553</c:v>
                </c:pt>
                <c:pt idx="358">
                  <c:v>431.44168958799366</c:v>
                </c:pt>
                <c:pt idx="359">
                  <c:v>433.62884227436888</c:v>
                </c:pt>
                <c:pt idx="360">
                  <c:v>435.8197177899109</c:v>
                </c:pt>
                <c:pt idx="361">
                  <c:v>438.01430192323818</c:v>
                </c:pt>
                <c:pt idx="362">
                  <c:v>440.21258046303882</c:v>
                </c:pt>
                <c:pt idx="363">
                  <c:v>442.41453919817116</c:v>
                </c:pt>
                <c:pt idx="364">
                  <c:v>444.62016391776393</c:v>
                </c:pt>
                <c:pt idx="365">
                  <c:v>446.82944041131623</c:v>
                </c:pt>
                <c:pt idx="366">
                  <c:v>449.04235686801997</c:v>
                </c:pt>
                <c:pt idx="367">
                  <c:v>451.25890627594663</c:v>
                </c:pt>
                <c:pt idx="368">
                  <c:v>453.4790840213027</c:v>
                </c:pt>
                <c:pt idx="369">
                  <c:v>455.70288548778672</c:v>
                </c:pt>
                <c:pt idx="370">
                  <c:v>457.93030605662022</c:v>
                </c:pt>
                <c:pt idx="371">
                  <c:v>460.1613411065785</c:v>
                </c:pt>
                <c:pt idx="372">
                  <c:v>462.3959860140215</c:v>
                </c:pt>
                <c:pt idx="373">
                  <c:v>464.63423615292464</c:v>
                </c:pt>
                <c:pt idx="374">
                  <c:v>466.87608689490946</c:v>
                </c:pt>
                <c:pt idx="375">
                  <c:v>469.12153360927442</c:v>
                </c:pt>
                <c:pt idx="376">
                  <c:v>471.37057166302554</c:v>
                </c:pt>
                <c:pt idx="377">
                  <c:v>473.62319642090694</c:v>
                </c:pt>
                <c:pt idx="378">
                  <c:v>475.8794032454316</c:v>
                </c:pt>
                <c:pt idx="379">
                  <c:v>478.13918749691175</c:v>
                </c:pt>
                <c:pt idx="380">
                  <c:v>480.40254453348945</c:v>
                </c:pt>
                <c:pt idx="381">
                  <c:v>482.66946712239582</c:v>
                </c:pt>
                <c:pt idx="382">
                  <c:v>484.93994285144049</c:v>
                </c:pt>
                <c:pt idx="383">
                  <c:v>487.21395671973005</c:v>
                </c:pt>
                <c:pt idx="384">
                  <c:v>489.49149372819176</c:v>
                </c:pt>
                <c:pt idx="385">
                  <c:v>491.77253887967589</c:v>
                </c:pt>
                <c:pt idx="386">
                  <c:v>494.05707717905739</c:v>
                </c:pt>
                <c:pt idx="387">
                  <c:v>496.34509363333717</c:v>
                </c:pt>
                <c:pt idx="388">
                  <c:v>498.63657325174296</c:v>
                </c:pt>
                <c:pt idx="389">
                  <c:v>500.93150104582969</c:v>
                </c:pt>
                <c:pt idx="390">
                  <c:v>503.22986202957929</c:v>
                </c:pt>
                <c:pt idx="391">
                  <c:v>505.53164121950022</c:v>
                </c:pt>
                <c:pt idx="392">
                  <c:v>507.83682363472639</c:v>
                </c:pt>
                <c:pt idx="393">
                  <c:v>510.14539429711579</c:v>
                </c:pt>
                <c:pt idx="394">
                  <c:v>512.45733823134844</c:v>
                </c:pt>
                <c:pt idx="395">
                  <c:v>514.77264046502398</c:v>
                </c:pt>
                <c:pt idx="396">
                  <c:v>517.09128602875876</c:v>
                </c:pt>
                <c:pt idx="397">
                  <c:v>519.41325995628256</c:v>
                </c:pt>
                <c:pt idx="398">
                  <c:v>521.73854728453477</c:v>
                </c:pt>
                <c:pt idx="399">
                  <c:v>524.06713305376013</c:v>
                </c:pt>
                <c:pt idx="400">
                  <c:v>526.39900230760372</c:v>
                </c:pt>
                <c:pt idx="401">
                  <c:v>528.73413806211443</c:v>
                </c:pt>
                <c:pt idx="402">
                  <c:v>531.07251927510788</c:v>
                </c:pt>
                <c:pt idx="403">
                  <c:v>533.4141228791741</c:v>
                </c:pt>
                <c:pt idx="404">
                  <c:v>535.75892581436199</c:v>
                </c:pt>
                <c:pt idx="405">
                  <c:v>538.10690502834689</c:v>
                </c:pt>
                <c:pt idx="406">
                  <c:v>540.45803747659727</c:v>
                </c:pt>
                <c:pt idx="407">
                  <c:v>542.81230012254025</c:v>
                </c:pt>
                <c:pt idx="408">
                  <c:v>545.16966993772633</c:v>
                </c:pt>
                <c:pt idx="409">
                  <c:v>547.53012390199262</c:v>
                </c:pt>
                <c:pt idx="410">
                  <c:v>549.89363900362548</c:v>
                </c:pt>
                <c:pt idx="411">
                  <c:v>552.26018103198612</c:v>
                </c:pt>
                <c:pt idx="412">
                  <c:v>554.62969337290951</c:v>
                </c:pt>
                <c:pt idx="413">
                  <c:v>557.00210822786096</c:v>
                </c:pt>
                <c:pt idx="414">
                  <c:v>559.37735783069593</c:v>
                </c:pt>
                <c:pt idx="415">
                  <c:v>561.75537444857139</c:v>
                </c:pt>
                <c:pt idx="416">
                  <c:v>564.13609038284937</c:v>
                </c:pt>
                <c:pt idx="417">
                  <c:v>566.51943796999171</c:v>
                </c:pt>
                <c:pt idx="418">
                  <c:v>568.90534958244734</c:v>
                </c:pt>
                <c:pt idx="419">
                  <c:v>571.29375762953032</c:v>
                </c:pt>
                <c:pt idx="420">
                  <c:v>573.6845881906446</c:v>
                </c:pt>
                <c:pt idx="421">
                  <c:v>576.07775465102941</c:v>
                </c:pt>
                <c:pt idx="422">
                  <c:v>578.47316407833478</c:v>
                </c:pt>
                <c:pt idx="423">
                  <c:v>580.87072359699778</c:v>
                </c:pt>
                <c:pt idx="424">
                  <c:v>583.27034038975228</c:v>
                </c:pt>
                <c:pt idx="425">
                  <c:v>585.67192169912312</c:v>
                </c:pt>
                <c:pt idx="426">
                  <c:v>588.0753748289053</c:v>
                </c:pt>
                <c:pt idx="427">
                  <c:v>590.48060714562678</c:v>
                </c:pt>
                <c:pt idx="428">
                  <c:v>592.88752607999595</c:v>
                </c:pt>
                <c:pt idx="429">
                  <c:v>595.29603912833375</c:v>
                </c:pt>
                <c:pt idx="430">
                  <c:v>597.70605385398972</c:v>
                </c:pt>
                <c:pt idx="431">
                  <c:v>600.11747788874231</c:v>
                </c:pt>
                <c:pt idx="432">
                  <c:v>602.53020868867725</c:v>
                </c:pt>
                <c:pt idx="433">
                  <c:v>604.94412329669422</c:v>
                </c:pt>
                <c:pt idx="434">
                  <c:v>607.35908860640905</c:v>
                </c:pt>
                <c:pt idx="435">
                  <c:v>609.77497162010548</c:v>
                </c:pt>
                <c:pt idx="436">
                  <c:v>612.19163945146909</c:v>
                </c:pt>
                <c:pt idx="437">
                  <c:v>614.60895932828953</c:v>
                </c:pt>
                <c:pt idx="438">
                  <c:v>617.02679859512921</c:v>
                </c:pt>
                <c:pt idx="439">
                  <c:v>619.44502471595956</c:v>
                </c:pt>
                <c:pt idx="440">
                  <c:v>621.86350527676416</c:v>
                </c:pt>
                <c:pt idx="441">
                  <c:v>624.28210798810926</c:v>
                </c:pt>
                <c:pt idx="442">
                  <c:v>626.70070690358762</c:v>
                </c:pt>
                <c:pt idx="443">
                  <c:v>629.11918863246638</c:v>
                </c:pt>
                <c:pt idx="444">
                  <c:v>631.53744611330728</c:v>
                </c:pt>
                <c:pt idx="445">
                  <c:v>633.95537239288728</c:v>
                </c:pt>
                <c:pt idx="446">
                  <c:v>636.37286062774899</c:v>
                </c:pt>
                <c:pt idx="447">
                  <c:v>638.78980408572988</c:v>
                </c:pt>
                <c:pt idx="448">
                  <c:v>641.20609614746934</c:v>
                </c:pt>
                <c:pt idx="449">
                  <c:v>643.62163030789486</c:v>
                </c:pt>
                <c:pt idx="450">
                  <c:v>646.03630017768614</c:v>
                </c:pt>
                <c:pt idx="451">
                  <c:v>648.44999948471843</c:v>
                </c:pt>
                <c:pt idx="452">
                  <c:v>650.86262207548396</c:v>
                </c:pt>
                <c:pt idx="453">
                  <c:v>653.27407080936712</c:v>
                </c:pt>
                <c:pt idx="454">
                  <c:v>655.68426644265503</c:v>
                </c:pt>
                <c:pt idx="455">
                  <c:v>658.09313871567701</c:v>
                </c:pt>
                <c:pt idx="456">
                  <c:v>660.50061744975415</c:v>
                </c:pt>
                <c:pt idx="457">
                  <c:v>662.90663254769652</c:v>
                </c:pt>
                <c:pt idx="458">
                  <c:v>665.31111399429153</c:v>
                </c:pt>
                <c:pt idx="459">
                  <c:v>667.71399185678308</c:v>
                </c:pt>
                <c:pt idx="460">
                  <c:v>670.11519628534199</c:v>
                </c:pt>
                <c:pt idx="461">
                  <c:v>672.51466551240173</c:v>
                </c:pt>
                <c:pt idx="462">
                  <c:v>674.9123538420082</c:v>
                </c:pt>
                <c:pt idx="463">
                  <c:v>677.30822363121274</c:v>
                </c:pt>
                <c:pt idx="464">
                  <c:v>679.70223728124336</c:v>
                </c:pt>
                <c:pt idx="465">
                  <c:v>682.09435723755632</c:v>
                </c:pt>
                <c:pt idx="466">
                  <c:v>684.48453927189655</c:v>
                </c:pt>
                <c:pt idx="467">
                  <c:v>686.87272577296505</c:v>
                </c:pt>
                <c:pt idx="468">
                  <c:v>689.25877767495854</c:v>
                </c:pt>
                <c:pt idx="469">
                  <c:v>691.6424980206607</c:v>
                </c:pt>
                <c:pt idx="470">
                  <c:v>694.02379838489708</c:v>
                </c:pt>
                <c:pt idx="471">
                  <c:v>696.4026819943565</c:v>
                </c:pt>
                <c:pt idx="472">
                  <c:v>698.77915206715682</c:v>
                </c:pt>
                <c:pt idx="473">
                  <c:v>701.15321181287482</c:v>
                </c:pt>
                <c:pt idx="474">
                  <c:v>703.52486443257601</c:v>
                </c:pt>
                <c:pt idx="475">
                  <c:v>705.89411311884464</c:v>
                </c:pt>
                <c:pt idx="476">
                  <c:v>708.26096105581303</c:v>
                </c:pt>
                <c:pt idx="477">
                  <c:v>710.62541141919132</c:v>
                </c:pt>
                <c:pt idx="478">
                  <c:v>712.98746737629676</c:v>
                </c:pt>
                <c:pt idx="479">
                  <c:v>715.34713208608298</c:v>
                </c:pt>
                <c:pt idx="480">
                  <c:v>717.70440869916888</c:v>
                </c:pt>
                <c:pt idx="481">
                  <c:v>720.05930035786787</c:v>
                </c:pt>
                <c:pt idx="482">
                  <c:v>722.41181019621661</c:v>
                </c:pt>
                <c:pt idx="483">
                  <c:v>724.76194134000377</c:v>
                </c:pt>
                <c:pt idx="484">
                  <c:v>727.10969690679872</c:v>
                </c:pt>
                <c:pt idx="485">
                  <c:v>729.45508000597977</c:v>
                </c:pt>
                <c:pt idx="486">
                  <c:v>731.79809373876265</c:v>
                </c:pt>
                <c:pt idx="487">
                  <c:v>734.13874119822879</c:v>
                </c:pt>
                <c:pt idx="488">
                  <c:v>736.47702546935329</c:v>
                </c:pt>
                <c:pt idx="489">
                  <c:v>738.81294962903314</c:v>
                </c:pt>
                <c:pt idx="490">
                  <c:v>741.14651674611468</c:v>
                </c:pt>
                <c:pt idx="491">
                  <c:v>743.47772988142162</c:v>
                </c:pt>
                <c:pt idx="492">
                  <c:v>745.80659208778275</c:v>
                </c:pt>
                <c:pt idx="493">
                  <c:v>748.1331064100591</c:v>
                </c:pt>
                <c:pt idx="494">
                  <c:v>750.4572758851715</c:v>
                </c:pt>
                <c:pt idx="495">
                  <c:v>752.77910354212781</c:v>
                </c:pt>
                <c:pt idx="496">
                  <c:v>755.09859240205014</c:v>
                </c:pt>
                <c:pt idx="497">
                  <c:v>757.41574547820176</c:v>
                </c:pt>
                <c:pt idx="498">
                  <c:v>759.73056577601392</c:v>
                </c:pt>
                <c:pt idx="499">
                  <c:v>762.04305629311273</c:v>
                </c:pt>
                <c:pt idx="500">
                  <c:v>764.35322001934594</c:v>
                </c:pt>
                <c:pt idx="501">
                  <c:v>787.32711480942896</c:v>
                </c:pt>
                <c:pt idx="502">
                  <c:v>810.07025332253977</c:v>
                </c:pt>
                <c:pt idx="503">
                  <c:v>832.58554919016797</c:v>
                </c:pt>
                <c:pt idx="504">
                  <c:v>854.87584181271234</c:v>
                </c:pt>
                <c:pt idx="505">
                  <c:v>876.94389882779831</c:v>
                </c:pt>
                <c:pt idx="506">
                  <c:v>898.79241847506535</c:v>
                </c:pt>
                <c:pt idx="507">
                  <c:v>920.42403186262084</c:v>
                </c:pt>
                <c:pt idx="508">
                  <c:v>941.84130514005267</c:v>
                </c:pt>
                <c:pt idx="509">
                  <c:v>963.04674158261003</c:v>
                </c:pt>
                <c:pt idx="510">
                  <c:v>984.04278359089744</c:v>
                </c:pt>
                <c:pt idx="511">
                  <c:v>1004.8318146101795</c:v>
                </c:pt>
                <c:pt idx="512">
                  <c:v>1025.416160973163</c:v>
                </c:pt>
                <c:pt idx="513">
                  <c:v>1045.7980936699046</c:v>
                </c:pt>
                <c:pt idx="514">
                  <c:v>1065.9798300482948</c:v>
                </c:pt>
                <c:pt idx="515">
                  <c:v>1085.9635354483714</c:v>
                </c:pt>
                <c:pt idx="516">
                  <c:v>1105.7513247735446</c:v>
                </c:pt>
                <c:pt idx="517">
                  <c:v>1125.345264001646</c:v>
                </c:pt>
                <c:pt idx="518">
                  <c:v>1144.7473716385559</c:v>
                </c:pt>
                <c:pt idx="519">
                  <c:v>1163.95962011702</c:v>
                </c:pt>
                <c:pt idx="520">
                  <c:v>1182.9839371431249</c:v>
                </c:pt>
                <c:pt idx="521">
                  <c:v>1201.8222069927738</c:v>
                </c:pt>
                <c:pt idx="522">
                  <c:v>1220.4762717603826</c:v>
                </c:pt>
                <c:pt idx="523">
                  <c:v>1238.9479325618991</c:v>
                </c:pt>
                <c:pt idx="524">
                  <c:v>1257.2389506941429</c:v>
                </c:pt>
                <c:pt idx="525">
                  <c:v>1275.3510487523606</c:v>
                </c:pt>
                <c:pt idx="526">
                  <c:v>1293.2859117077942</c:v>
                </c:pt>
                <c:pt idx="527">
                  <c:v>1311.0451879469729</c:v>
                </c:pt>
                <c:pt idx="528">
                  <c:v>1328.6304902743507</c:v>
                </c:pt>
                <c:pt idx="529">
                  <c:v>1346.0433968798325</c:v>
                </c:pt>
                <c:pt idx="530">
                  <c:v>1363.2854522726584</c:v>
                </c:pt>
                <c:pt idx="531">
                  <c:v>1380.3581681830399</c:v>
                </c:pt>
                <c:pt idx="532">
                  <c:v>1397.2630244328768</c:v>
                </c:pt>
                <c:pt idx="533">
                  <c:v>1414.0014697768204</c:v>
                </c:pt>
                <c:pt idx="534">
                  <c:v>1430.574922714886</c:v>
                </c:pt>
                <c:pt idx="535">
                  <c:v>1446.9847722777629</c:v>
                </c:pt>
                <c:pt idx="536">
                  <c:v>1463.2323787859132</c:v>
                </c:pt>
                <c:pt idx="537">
                  <c:v>1479.319074583505</c:v>
                </c:pt>
                <c:pt idx="538">
                  <c:v>1495.2461647481691</c:v>
                </c:pt>
                <c:pt idx="539">
                  <c:v>1511.0149277775311</c:v>
                </c:pt>
                <c:pt idx="540">
                  <c:v>1526.6266162534209</c:v>
                </c:pt>
                <c:pt idx="541">
                  <c:v>1542.0824574846247</c:v>
                </c:pt>
                <c:pt idx="542">
                  <c:v>1557.3836541290025</c:v>
                </c:pt>
                <c:pt idx="543">
                  <c:v>1572.5313847957589</c:v>
                </c:pt>
                <c:pt idx="544">
                  <c:v>1587.5268046286199</c:v>
                </c:pt>
                <c:pt idx="545">
                  <c:v>1602.3710458706346</c:v>
                </c:pt>
                <c:pt idx="546">
                  <c:v>1617.0652184112885</c:v>
                </c:pt>
                <c:pt idx="547">
                  <c:v>1631.610410316586</c:v>
                </c:pt>
                <c:pt idx="548">
                  <c:v>1646.0076883427314</c:v>
                </c:pt>
                <c:pt idx="549">
                  <c:v>1660.2580984340093</c:v>
                </c:pt>
                <c:pt idx="550">
                  <c:v>1674.3626662054403</c:v>
                </c:pt>
                <c:pt idx="551">
                  <c:v>1688.3223974107632</c:v>
                </c:pt>
                <c:pt idx="552">
                  <c:v>1702.1382783962722</c:v>
                </c:pt>
                <c:pt idx="553">
                  <c:v>1715.8112765410146</c:v>
                </c:pt>
                <c:pt idx="554">
                  <c:v>1729.3423406838331</c:v>
                </c:pt>
                <c:pt idx="555">
                  <c:v>1742.7324015377169</c:v>
                </c:pt>
                <c:pt idx="556">
                  <c:v>1755.9823720919085</c:v>
                </c:pt>
                <c:pt idx="557">
                  <c:v>1769.0931480021916</c:v>
                </c:pt>
                <c:pt idx="558">
                  <c:v>1782.0656079697703</c:v>
                </c:pt>
                <c:pt idx="559">
                  <c:v>1794.900614109132</c:v>
                </c:pt>
                <c:pt idx="560">
                  <c:v>1807.599012305272</c:v>
                </c:pt>
                <c:pt idx="561">
                  <c:v>1820.1616325606419</c:v>
                </c:pt>
                <c:pt idx="562">
                  <c:v>1832.5892893321686</c:v>
                </c:pt>
                <c:pt idx="563">
                  <c:v>1844.8827818586778</c:v>
                </c:pt>
                <c:pt idx="564">
                  <c:v>1857.0428944790444</c:v>
                </c:pt>
                <c:pt idx="565">
                  <c:v>1869.0703969413755</c:v>
                </c:pt>
                <c:pt idx="566">
                  <c:v>1880.9660447035249</c:v>
                </c:pt>
                <c:pt idx="567">
                  <c:v>1892.7305792252218</c:v>
                </c:pt>
                <c:pt idx="568">
                  <c:v>1904.3647282520901</c:v>
                </c:pt>
                <c:pt idx="569">
                  <c:v>1915.8692060918186</c:v>
                </c:pt>
                <c:pt idx="570">
                  <c:v>1927.2447138827386</c:v>
                </c:pt>
                <c:pt idx="571">
                  <c:v>1938.491939855051</c:v>
                </c:pt>
                <c:pt idx="572">
                  <c:v>1949.6115595849396</c:v>
                </c:pt>
                <c:pt idx="573">
                  <c:v>1960.604236241795</c:v>
                </c:pt>
                <c:pt idx="574">
                  <c:v>1971.4706208287676</c:v>
                </c:pt>
                <c:pt idx="575">
                  <c:v>1982.2113524168608</c:v>
                </c:pt>
                <c:pt idx="576">
                  <c:v>1992.8270583727649</c:v>
                </c:pt>
                <c:pt idx="577">
                  <c:v>2003.3183545806271</c:v>
                </c:pt>
                <c:pt idx="578">
                  <c:v>2013.6858456579469</c:v>
                </c:pt>
                <c:pt idx="579">
                  <c:v>2023.9301251657766</c:v>
                </c:pt>
                <c:pt idx="580">
                  <c:v>2034.0517758134029</c:v>
                </c:pt>
                <c:pt idx="581">
                  <c:v>2044.0513696576772</c:v>
                </c:pt>
                <c:pt idx="582">
                  <c:v>2053.9294682971604</c:v>
                </c:pt>
                <c:pt idx="583">
                  <c:v>2063.6866230612354</c:v>
                </c:pt>
                <c:pt idx="584">
                  <c:v>2073.3233751943421</c:v>
                </c:pt>
                <c:pt idx="585">
                  <c:v>2082.8402560354821</c:v>
                </c:pt>
                <c:pt idx="586">
                  <c:v>2092.237787193133</c:v>
                </c:pt>
                <c:pt idx="587">
                  <c:v>2101.5164807157125</c:v>
                </c:pt>
                <c:pt idx="588">
                  <c:v>2110.6768392577214</c:v>
                </c:pt>
                <c:pt idx="589">
                  <c:v>2119.7193562416974</c:v>
                </c:pt>
                <c:pt idx="590">
                  <c:v>2128.6445160161015</c:v>
                </c:pt>
                <c:pt idx="591">
                  <c:v>2137.4527940092617</c:v>
                </c:pt>
                <c:pt idx="592">
                  <c:v>2146.1446568794845</c:v>
                </c:pt>
                <c:pt idx="593">
                  <c:v>2154.7205626614541</c:v>
                </c:pt>
                <c:pt idx="594">
                  <c:v>2163.1809609090233</c:v>
                </c:pt>
                <c:pt idx="595">
                  <c:v>2171.5262928345091</c:v>
                </c:pt>
                <c:pt idx="596">
                  <c:v>2179.7569914445894</c:v>
                </c:pt>
                <c:pt idx="597">
                  <c:v>2187.8734816729075</c:v>
                </c:pt>
                <c:pt idx="598">
                  <c:v>2195.87618050948</c:v>
                </c:pt>
                <c:pt idx="599">
                  <c:v>2203.7654971270031</c:v>
                </c:pt>
                <c:pt idx="600">
                  <c:v>2211.5418330041498</c:v>
                </c:pt>
                <c:pt idx="601">
                  <c:v>2219.2055820459518</c:v>
                </c:pt>
                <c:pt idx="602">
                  <c:v>2226.7571307013504</c:v>
                </c:pt>
                <c:pt idx="603">
                  <c:v>2234.1968580780053</c:v>
                </c:pt>
                <c:pt idx="604">
                  <c:v>2241.5251360544435</c:v>
                </c:pt>
                <c:pt idx="605">
                  <c:v>2248.7423293896354</c:v>
                </c:pt>
                <c:pt idx="606">
                  <c:v>2255.8487958300743</c:v>
                </c:pt>
                <c:pt idx="607">
                  <c:v>2262.8448862144419</c:v>
                </c:pt>
                <c:pt idx="608">
                  <c:v>2269.730944575937</c:v>
                </c:pt>
                <c:pt idx="609">
                  <c:v>2276.5073082423442</c:v>
                </c:pt>
                <c:pt idx="610">
                  <c:v>2283.1743079339212</c:v>
                </c:pt>
                <c:pt idx="611">
                  <c:v>2289.732267859175</c:v>
                </c:pt>
                <c:pt idx="612">
                  <c:v>2296.1815058086063</c:v>
                </c:pt>
                <c:pt idx="613">
                  <c:v>2302.5223332464934</c:v>
                </c:pt>
                <c:pt idx="614">
                  <c:v>2308.7550554007885</c:v>
                </c:pt>
                <c:pt idx="615">
                  <c:v>2314.8799713512012</c:v>
                </c:pt>
                <c:pt idx="616">
                  <c:v>2320.8973741155405</c:v>
                </c:pt>
                <c:pt idx="617">
                  <c:v>2326.8075507343874</c:v>
                </c:pt>
                <c:pt idx="618">
                  <c:v>2332.6107823541747</c:v>
                </c:pt>
                <c:pt idx="619">
                  <c:v>2338.3073443087433</c:v>
                </c:pt>
                <c:pt idx="620">
                  <c:v>2343.897506199452</c:v>
                </c:pt>
                <c:pt idx="621">
                  <c:v>2349.3815319739124</c:v>
                </c:pt>
                <c:pt idx="622">
                  <c:v>2354.7596800034285</c:v>
                </c:pt>
                <c:pt idx="623">
                  <c:v>2360.0322031592145</c:v>
                </c:pt>
                <c:pt idx="624">
                  <c:v>2365.19934888747</c:v>
                </c:pt>
                <c:pt idx="625">
                  <c:v>2370.2613592833927</c:v>
                </c:pt>
                <c:pt idx="626">
                  <c:v>2375.2184711642089</c:v>
                </c:pt>
                <c:pt idx="627">
                  <c:v>2380.0709161413074</c:v>
                </c:pt>
                <c:pt idx="628">
                  <c:v>2384.8189206915604</c:v>
                </c:pt>
                <c:pt idx="629">
                  <c:v>2389.4627062279201</c:v>
                </c:pt>
                <c:pt idx="630">
                  <c:v>2394.0024891693834</c:v>
                </c:pt>
                <c:pt idx="631">
                  <c:v>2398.4384810104157</c:v>
                </c:pt>
                <c:pt idx="632">
                  <c:v>2402.7708883899354</c:v>
                </c:pt>
                <c:pt idx="633">
                  <c:v>2406.9999131599557</c:v>
                </c:pt>
                <c:pt idx="634">
                  <c:v>2411.1257524539892</c:v>
                </c:pt>
                <c:pt idx="635">
                  <c:v>2415.148598755326</c:v>
                </c:pt>
                <c:pt idx="636">
                  <c:v>2419.068639965295</c:v>
                </c:pt>
                <c:pt idx="637">
                  <c:v>2422.8860594716275</c:v>
                </c:pt>
                <c:pt idx="638">
                  <c:v>2426.6010362170427</c:v>
                </c:pt>
                <c:pt idx="639">
                  <c:v>2430.2137447681848</c:v>
                </c:pt>
                <c:pt idx="640">
                  <c:v>2433.7243553850403</c:v>
                </c:pt>
                <c:pt idx="641">
                  <c:v>2437.1330340909717</c:v>
                </c:pt>
                <c:pt idx="642">
                  <c:v>2440.4399427435119</c:v>
                </c:pt>
                <c:pt idx="643">
                  <c:v>2443.6452391060625</c:v>
                </c:pt>
                <c:pt idx="644">
                  <c:v>2446.7490769206502</c:v>
                </c:pt>
                <c:pt idx="645">
                  <c:v>2449.7516059818931</c:v>
                </c:pt>
                <c:pt idx="646">
                  <c:v>2452.6529722123423</c:v>
                </c:pt>
                <c:pt idx="647">
                  <c:v>2455.4533177393578</c:v>
                </c:pt>
                <c:pt idx="648">
                  <c:v>2458.152780973689</c:v>
                </c:pt>
                <c:pt idx="649">
                  <c:v>2460.7514966899312</c:v>
                </c:pt>
                <c:pt idx="650">
                  <c:v>2463.2495961090235</c:v>
                </c:pt>
                <c:pt idx="651">
                  <c:v>2465.647206982967</c:v>
                </c:pt>
                <c:pt idx="652">
                  <c:v>2467.9444536819292</c:v>
                </c:pt>
                <c:pt idx="653">
                  <c:v>2470.1414572839076</c:v>
                </c:pt>
                <c:pt idx="654">
                  <c:v>2472.2383356671121</c:v>
                </c:pt>
                <c:pt idx="655">
                  <c:v>2474.235203605228</c:v>
                </c:pt>
                <c:pt idx="656">
                  <c:v>2476.1321728657099</c:v>
                </c:pt>
                <c:pt idx="657">
                  <c:v>2477.929352311241</c:v>
                </c:pt>
                <c:pt idx="658">
                  <c:v>2479.6268480044873</c:v>
                </c:pt>
                <c:pt idx="659">
                  <c:v>2481.2247633162556</c:v>
                </c:pt>
                <c:pt idx="660">
                  <c:v>2482.7231990371388</c:v>
                </c:pt>
                <c:pt idx="661">
                  <c:v>2484.1222534927242</c:v>
                </c:pt>
                <c:pt idx="662">
                  <c:v>2485.422022662397</c:v>
                </c:pt>
                <c:pt idx="663">
                  <c:v>2486.6226003017582</c:v>
                </c:pt>
                <c:pt idx="664">
                  <c:v>2487.7240780686329</c:v>
                </c:pt>
                <c:pt idx="665">
                  <c:v>2488.7265456526188</c:v>
                </c:pt>
                <c:pt idx="666">
                  <c:v>2489.6300909080819</c:v>
                </c:pt>
                <c:pt idx="667">
                  <c:v>2490.4347999904735</c:v>
                </c:pt>
                <c:pt idx="668">
                  <c:v>2491.1407574957989</c:v>
                </c:pt>
                <c:pt idx="669">
                  <c:v>2491.7480466030279</c:v>
                </c:pt>
                <c:pt idx="670">
                  <c:v>2492.2567492192002</c:v>
                </c:pt>
                <c:pt idx="671">
                  <c:v>2492.6669461269371</c:v>
                </c:pt>
                <c:pt idx="672">
                  <c:v>2492.9787171340326</c:v>
                </c:pt>
                <c:pt idx="673">
                  <c:v>2493.1921412247634</c:v>
                </c:pt>
                <c:pt idx="674">
                  <c:v>2493.3072967125281</c:v>
                </c:pt>
                <c:pt idx="675">
                  <c:v>2493.3242613933926</c:v>
                </c:pt>
                <c:pt idx="676">
                  <c:v>2493.2431127001055</c:v>
                </c:pt>
                <c:pt idx="677">
                  <c:v>2493.0639278561243</c:v>
                </c:pt>
                <c:pt idx="678">
                  <c:v>2492.786784029186</c:v>
                </c:pt>
                <c:pt idx="679">
                  <c:v>2492.4117584839501</c:v>
                </c:pt>
                <c:pt idx="680">
                  <c:v>2491.9389287332515</c:v>
                </c:pt>
                <c:pt idx="681">
                  <c:v>2491.3683726874997</c:v>
                </c:pt>
                <c:pt idx="682">
                  <c:v>2490.7001688017858</c:v>
                </c:pt>
                <c:pt idx="683">
                  <c:v>2489.9343962202761</c:v>
                </c:pt>
                <c:pt idx="684">
                  <c:v>2489.0711349174958</c:v>
                </c:pt>
                <c:pt idx="685">
                  <c:v>2488.1104658361432</c:v>
                </c:pt>
                <c:pt idx="686">
                  <c:v>2487.0524710211048</c:v>
                </c:pt>
                <c:pt idx="687">
                  <c:v>2485.8972337493751</c:v>
                </c:pt>
                <c:pt idx="688">
                  <c:v>2484.6448386556399</c:v>
                </c:pt>
                <c:pt idx="689">
                  <c:v>2483.2953718533013</c:v>
                </c:pt>
                <c:pt idx="690">
                  <c:v>2481.8489210507769</c:v>
                </c:pt>
                <c:pt idx="691">
                  <c:v>2480.3055756629465</c:v>
                </c:pt>
                <c:pt idx="692">
                  <c:v>2478.6654269176438</c:v>
                </c:pt>
                <c:pt idx="693">
                  <c:v>2476.9285679571467</c:v>
                </c:pt>
                <c:pt idx="694">
                  <c:v>2475.0950939346371</c:v>
                </c:pt>
                <c:pt idx="695">
                  <c:v>2473.165102105645</c:v>
                </c:pt>
                <c:pt idx="696">
                  <c:v>2471.1386919145102</c:v>
                </c:pt>
                <c:pt idx="697">
                  <c:v>2469.0159650759306</c:v>
                </c:pt>
                <c:pt idx="698">
                  <c:v>2466.7970256516783</c:v>
                </c:pt>
                <c:pt idx="699">
                  <c:v>2464.4819801225926</c:v>
                </c:pt>
                <c:pt idx="700">
                  <c:v>2462.0709374559683</c:v>
                </c:pt>
                <c:pt idx="701">
                  <c:v>2459.5640091684759</c:v>
                </c:pt>
                <c:pt idx="702">
                  <c:v>2456.9613093847565</c:v>
                </c:pt>
                <c:pt idx="703">
                  <c:v>2454.2629548918462</c:v>
                </c:pt>
                <c:pt idx="704">
                  <c:v>2451.4690651895849</c:v>
                </c:pt>
                <c:pt idx="705">
                  <c:v>2448.5797625371761</c:v>
                </c:pt>
                <c:pt idx="706">
                  <c:v>2445.5951719960553</c:v>
                </c:pt>
                <c:pt idx="707">
                  <c:v>2442.5154214692343</c:v>
                </c:pt>
                <c:pt idx="708">
                  <c:v>2439.3406417372821</c:v>
                </c:pt>
                <c:pt idx="709">
                  <c:v>2436.0709664911001</c:v>
                </c:pt>
                <c:pt idx="710">
                  <c:v>2432.7065323616503</c:v>
                </c:pt>
                <c:pt idx="711">
                  <c:v>2429.2474789467879</c:v>
                </c:pt>
                <c:pt idx="712">
                  <c:v>2425.6939488353423</c:v>
                </c:pt>
                <c:pt idx="713">
                  <c:v>2422.046087628592</c:v>
                </c:pt>
                <c:pt idx="714">
                  <c:v>2418.3040439592664</c:v>
                </c:pt>
                <c:pt idx="715">
                  <c:v>2414.4679695082082</c:v>
                </c:pt>
                <c:pt idx="716">
                  <c:v>2410.5380190188157</c:v>
                </c:pt>
                <c:pt idx="717">
                  <c:v>2406.51435030939</c:v>
                </c:pt>
                <c:pt idx="718">
                  <c:v>2402.3971242834914</c:v>
                </c:pt>
                <c:pt idx="719">
                  <c:v>2398.1865049384191</c:v>
                </c:pt>
                <c:pt idx="720">
                  <c:v>2393.8826593719104</c:v>
                </c:pt>
                <c:pt idx="721">
                  <c:v>2389.4857577871553</c:v>
                </c:pt>
                <c:pt idx="722">
                  <c:v>2384.9959734962167</c:v>
                </c:pt>
                <c:pt idx="723">
                  <c:v>2380.4134829219406</c:v>
                </c:pt>
                <c:pt idx="724">
                  <c:v>2375.7384655984356</c:v>
                </c:pt>
                <c:pt idx="725">
                  <c:v>2370.9711041701948</c:v>
                </c:pt>
                <c:pt idx="726">
                  <c:v>2366.1115843899352</c:v>
                </c:pt>
                <c:pt idx="727">
                  <c:v>2361.1600951152127</c:v>
                </c:pt>
                <c:pt idx="728">
                  <c:v>2356.1168283038828</c:v>
                </c:pt>
                <c:pt idx="729">
                  <c:v>2350.9819790084571</c:v>
                </c:pt>
                <c:pt idx="730">
                  <c:v>2345.7557453694167</c:v>
                </c:pt>
                <c:pt idx="731">
                  <c:v>2340.4383286075295</c:v>
                </c:pt>
                <c:pt idx="732">
                  <c:v>2335.0299330152188</c:v>
                </c:pt>
                <c:pt idx="733">
                  <c:v>2329.5307659470318</c:v>
                </c:pt>
                <c:pt idx="734">
                  <c:v>2323.9410378092452</c:v>
                </c:pt>
                <c:pt idx="735">
                  <c:v>2318.2609620486501</c:v>
                </c:pt>
                <c:pt idx="736">
                  <c:v>2312.4907551405527</c:v>
                </c:pt>
                <c:pt idx="737">
                  <c:v>2306.6306365760265</c:v>
                </c:pt>
                <c:pt idx="738">
                  <c:v>2300.6808288484453</c:v>
                </c:pt>
                <c:pt idx="739">
                  <c:v>2294.64155743933</c:v>
                </c:pt>
                <c:pt idx="740">
                  <c:v>2288.513050803539</c:v>
                </c:pt>
                <c:pt idx="741">
                  <c:v>2282.2955403538272</c:v>
                </c:pt>
                <c:pt idx="742">
                  <c:v>2275.9892604447978</c:v>
                </c:pt>
                <c:pt idx="743">
                  <c:v>2269.5944483562757</c:v>
                </c:pt>
                <c:pt idx="744">
                  <c:v>2263.1113442761202</c:v>
                </c:pt>
                <c:pt idx="745">
                  <c:v>2256.5401912825014</c:v>
                </c:pt>
                <c:pt idx="746">
                  <c:v>2249.8812353256581</c:v>
                </c:pt>
                <c:pt idx="747">
                  <c:v>2243.1347252091591</c:v>
                </c:pt>
                <c:pt idx="748">
                  <c:v>2236.3009125706835</c:v>
                </c:pt>
                <c:pt idx="749">
                  <c:v>2229.3800518623375</c:v>
                </c:pt>
                <c:pt idx="750">
                  <c:v>2222.3724003305256</c:v>
                </c:pt>
                <c:pt idx="751">
                  <c:v>2215.2782179953902</c:v>
                </c:pt>
                <c:pt idx="752">
                  <c:v>2208.0977676298339</c:v>
                </c:pt>
                <c:pt idx="753">
                  <c:v>2200.83131473814</c:v>
                </c:pt>
                <c:pt idx="754">
                  <c:v>2193.4791275342036</c:v>
                </c:pt>
                <c:pt idx="755">
                  <c:v>2186.0414769193849</c:v>
                </c:pt>
                <c:pt idx="756">
                  <c:v>2178.518636459999</c:v>
                </c:pt>
                <c:pt idx="757">
                  <c:v>2170.9108823644547</c:v>
                </c:pt>
                <c:pt idx="758">
                  <c:v>2163.2184934600473</c:v>
                </c:pt>
                <c:pt idx="759">
                  <c:v>2155.441751169426</c:v>
                </c:pt>
                <c:pt idx="760">
                  <c:v>2147.580939486736</c:v>
                </c:pt>
                <c:pt idx="761">
                  <c:v>2139.6363449534538</c:v>
                </c:pt>
                <c:pt idx="762">
                  <c:v>2131.6082566339182</c:v>
                </c:pt>
                <c:pt idx="763">
                  <c:v>2123.4969660905726</c:v>
                </c:pt>
                <c:pt idx="764">
                  <c:v>2115.3027673589231</c:v>
                </c:pt>
                <c:pt idx="765">
                  <c:v>2107.0259569222226</c:v>
                </c:pt>
                <c:pt idx="766">
                  <c:v>2098.6668336858897</c:v>
                </c:pt>
                <c:pt idx="767">
                  <c:v>2090.2256989516695</c:v>
                </c:pt>
                <c:pt idx="768">
                  <c:v>2081.7028563915455</c:v>
                </c:pt>
                <c:pt idx="769">
                  <c:v>2073.0986120214097</c:v>
                </c:pt>
                <c:pt idx="770">
                  <c:v>2064.4132741744988</c:v>
                </c:pt>
                <c:pt idx="771">
                  <c:v>2055.647153474602</c:v>
                </c:pt>
                <c:pt idx="772">
                  <c:v>2046.8005628090509</c:v>
                </c:pt>
                <c:pt idx="773">
                  <c:v>2037.8738173014965</c:v>
                </c:pt>
                <c:pt idx="774">
                  <c:v>2028.8672342844793</c:v>
                </c:pt>
                <c:pt idx="775">
                  <c:v>2019.7811332718022</c:v>
                </c:pt>
                <c:pt idx="776">
                  <c:v>2010.615835930709</c:v>
                </c:pt>
                <c:pt idx="777">
                  <c:v>2001.3716660538789</c:v>
                </c:pt>
                <c:pt idx="778">
                  <c:v>1992.0489495312411</c:v>
                </c:pt>
                <c:pt idx="779">
                  <c:v>1982.6480143216149</c:v>
                </c:pt>
                <c:pt idx="780">
                  <c:v>1973.1691904241854</c:v>
                </c:pt>
                <c:pt idx="781">
                  <c:v>1963.6128098498164</c:v>
                </c:pt>
                <c:pt idx="782">
                  <c:v>1953.979206592209</c:v>
                </c:pt>
                <c:pt idx="783">
                  <c:v>1944.2687165989121</c:v>
                </c:pt>
                <c:pt idx="784">
                  <c:v>1934.4816777421893</c:v>
                </c:pt>
                <c:pt idx="785">
                  <c:v>1924.6184297897489</c:v>
                </c:pt>
                <c:pt idx="786">
                  <c:v>1914.679314375343</c:v>
                </c:pt>
                <c:pt idx="787">
                  <c:v>1904.6646749692397</c:v>
                </c:pt>
                <c:pt idx="788">
                  <c:v>1894.5748568485772</c:v>
                </c:pt>
                <c:pt idx="789">
                  <c:v>1884.4102070676017</c:v>
                </c:pt>
                <c:pt idx="790">
                  <c:v>1874.171074427798</c:v>
                </c:pt>
                <c:pt idx="791">
                  <c:v>1863.8578094479149</c:v>
                </c:pt>
                <c:pt idx="792">
                  <c:v>1853.4707643338941</c:v>
                </c:pt>
                <c:pt idx="793">
                  <c:v>1843.0102929487064</c:v>
                </c:pt>
                <c:pt idx="794">
                  <c:v>1832.4767507821002</c:v>
                </c:pt>
                <c:pt idx="795">
                  <c:v>1821.8704949202679</c:v>
                </c:pt>
                <c:pt idx="796">
                  <c:v>1811.1918840154365</c:v>
                </c:pt>
                <c:pt idx="797">
                  <c:v>1800.4412782553861</c:v>
                </c:pt>
                <c:pt idx="798">
                  <c:v>1789.6190393329034</c:v>
                </c:pt>
                <c:pt idx="799">
                  <c:v>1778.7255304151722</c:v>
                </c:pt>
                <c:pt idx="800">
                  <c:v>1767.7611161131099</c:v>
                </c:pt>
                <c:pt idx="801">
                  <c:v>1756.7261624506525</c:v>
                </c:pt>
                <c:pt idx="802">
                  <c:v>1745.6210368339941</c:v>
                </c:pt>
                <c:pt idx="803">
                  <c:v>1734.4461080207857</c:v>
                </c:pt>
                <c:pt idx="804">
                  <c:v>1723.2017460892982</c:v>
                </c:pt>
                <c:pt idx="805">
                  <c:v>1711.8883224075551</c:v>
                </c:pt>
                <c:pt idx="806">
                  <c:v>1700.506209602439</c:v>
                </c:pt>
                <c:pt idx="807">
                  <c:v>1689.0557815287789</c:v>
                </c:pt>
                <c:pt idx="808">
                  <c:v>1677.5374132384193</c:v>
                </c:pt>
                <c:pt idx="809">
                  <c:v>1665.95148094928</c:v>
                </c:pt>
                <c:pt idx="810">
                  <c:v>1654.2983620144096</c:v>
                </c:pt>
                <c:pt idx="811">
                  <c:v>1642.5784348910367</c:v>
                </c:pt>
                <c:pt idx="812">
                  <c:v>1630.792079109626</c:v>
                </c:pt>
                <c:pt idx="813">
                  <c:v>1618.9396752429413</c:v>
                </c:pt>
                <c:pt idx="814">
                  <c:v>1607.0216048751222</c:v>
                </c:pt>
                <c:pt idx="815">
                  <c:v>1595.0382505707776</c:v>
                </c:pt>
                <c:pt idx="816">
                  <c:v>1582.9899958441031</c:v>
                </c:pt>
                <c:pt idx="817">
                  <c:v>1570.8772251280232</c:v>
                </c:pt>
                <c:pt idx="818">
                  <c:v>1558.7003237433669</c:v>
                </c:pt>
                <c:pt idx="819">
                  <c:v>1546.4596778680777</c:v>
                </c:pt>
                <c:pt idx="820">
                  <c:v>1534.1556745064661</c:v>
                </c:pt>
                <c:pt idx="821">
                  <c:v>1521.7887014585051</c:v>
                </c:pt>
                <c:pt idx="822">
                  <c:v>1509.3591472891771</c:v>
                </c:pt>
                <c:pt idx="823">
                  <c:v>1496.8674012978743</c:v>
                </c:pt>
                <c:pt idx="824">
                  <c:v>1484.3138534878565</c:v>
                </c:pt>
                <c:pt idx="825">
                  <c:v>1471.6988945357734</c:v>
                </c:pt>
                <c:pt idx="826">
                  <c:v>1459.0229157612534</c:v>
                </c:pt>
                <c:pt idx="827">
                  <c:v>1446.2863090965632</c:v>
                </c:pt>
                <c:pt idx="828">
                  <c:v>1433.489467056344</c:v>
                </c:pt>
                <c:pt idx="829">
                  <c:v>1420.6327827074272</c:v>
                </c:pt>
                <c:pt idx="830">
                  <c:v>1407.7166496387349</c:v>
                </c:pt>
                <c:pt idx="831">
                  <c:v>1394.7414619312681</c:v>
                </c:pt>
                <c:pt idx="832">
                  <c:v>1381.7076141281871</c:v>
                </c:pt>
                <c:pt idx="833">
                  <c:v>1368.6155012049892</c:v>
                </c:pt>
                <c:pt idx="834">
                  <c:v>1355.4655185397871</c:v>
                </c:pt>
                <c:pt idx="835">
                  <c:v>1342.258061883691</c:v>
                </c:pt>
                <c:pt idx="836">
                  <c:v>1328.9935273312992</c:v>
                </c:pt>
                <c:pt idx="837">
                  <c:v>1315.6723112913028</c:v>
                </c:pt>
                <c:pt idx="838">
                  <c:v>1302.2948104572044</c:v>
                </c:pt>
                <c:pt idx="839">
                  <c:v>1288.861421778159</c:v>
                </c:pt>
                <c:pt idx="840">
                  <c:v>1275.3725424299373</c:v>
                </c:pt>
                <c:pt idx="841">
                  <c:v>1261.8285697860185</c:v>
                </c:pt>
                <c:pt idx="842">
                  <c:v>1248.2299013888123</c:v>
                </c:pt>
                <c:pt idx="843">
                  <c:v>1234.5769349210175</c:v>
                </c:pt>
                <c:pt idx="844">
                  <c:v>1220.8700681771195</c:v>
                </c:pt>
                <c:pt idx="845">
                  <c:v>1207.1096990350291</c:v>
                </c:pt>
                <c:pt idx="846">
                  <c:v>1193.2962254278671</c:v>
                </c:pt>
                <c:pt idx="847">
                  <c:v>1179.4300453158992</c:v>
                </c:pt>
                <c:pt idx="848">
                  <c:v>1165.5115566586223</c:v>
                </c:pt>
                <c:pt idx="849">
                  <c:v>1151.5411573870083</c:v>
                </c:pt>
                <c:pt idx="850">
                  <c:v>1137.5192453759055</c:v>
                </c:pt>
                <c:pt idx="851">
                  <c:v>1123.4462184166043</c:v>
                </c:pt>
                <c:pt idx="852">
                  <c:v>1109.3224741895679</c:v>
                </c:pt>
                <c:pt idx="853">
                  <c:v>1095.1484102373315</c:v>
                </c:pt>
                <c:pt idx="854">
                  <c:v>1080.9244239375762</c:v>
                </c:pt>
                <c:pt idx="855">
                  <c:v>1066.6509124763743</c:v>
                </c:pt>
                <c:pt idx="856">
                  <c:v>1052.3282728216168</c:v>
                </c:pt>
                <c:pt idx="857">
                  <c:v>1037.9569016966186</c:v>
                </c:pt>
                <c:pt idx="858">
                  <c:v>1023.5371955539113</c:v>
                </c:pt>
                <c:pt idx="859">
                  <c:v>1009.0695505492196</c:v>
                </c:pt>
                <c:pt idx="860">
                  <c:v>994.55436251563037</c:v>
                </c:pt>
                <c:pt idx="861">
                  <c:v>979.99202693795257</c:v>
                </c:pt>
                <c:pt idx="862">
                  <c:v>965.38293892727302</c:v>
                </c:pt>
                <c:pt idx="863">
                  <c:v>950.72749319571005</c:v>
                </c:pt>
                <c:pt idx="864">
                  <c:v>936.02608403136765</c:v>
                </c:pt>
                <c:pt idx="865">
                  <c:v>921.27910527349241</c:v>
                </c:pt>
                <c:pt idx="866">
                  <c:v>906.48695028783629</c:v>
                </c:pt>
                <c:pt idx="867">
                  <c:v>891.65001194222714</c:v>
                </c:pt>
                <c:pt idx="868">
                  <c:v>876.76868258234913</c:v>
                </c:pt>
                <c:pt idx="869">
                  <c:v>861.84335400773648</c:v>
                </c:pt>
                <c:pt idx="870">
                  <c:v>846.8744174479815</c:v>
                </c:pt>
                <c:pt idx="871">
                  <c:v>831.86226353915947</c:v>
                </c:pt>
                <c:pt idx="872">
                  <c:v>816.80728230047293</c:v>
                </c:pt>
                <c:pt idx="873">
                  <c:v>801.70986311111733</c:v>
                </c:pt>
                <c:pt idx="874">
                  <c:v>786.57039468736934</c:v>
                </c:pt>
                <c:pt idx="875">
                  <c:v>771.38926505990071</c:v>
                </c:pt>
                <c:pt idx="876">
                  <c:v>756.16686155131913</c:v>
                </c:pt>
                <c:pt idx="877">
                  <c:v>740.90357075393774</c:v>
                </c:pt>
                <c:pt idx="878">
                  <c:v>725.59977850777545</c:v>
                </c:pt>
                <c:pt idx="879">
                  <c:v>710.25586987878989</c:v>
                </c:pt>
                <c:pt idx="880">
                  <c:v>694.87222913734377</c:v>
                </c:pt>
                <c:pt idx="881">
                  <c:v>679.44923973690743</c:v>
                </c:pt>
                <c:pt idx="882">
                  <c:v>663.98728429299808</c:v>
                </c:pt>
                <c:pt idx="883">
                  <c:v>648.48674456235824</c:v>
                </c:pt>
                <c:pt idx="884">
                  <c:v>632.94800142237375</c:v>
                </c:pt>
                <c:pt idx="885">
                  <c:v>617.37143485073341</c:v>
                </c:pt>
                <c:pt idx="886">
                  <c:v>601.75742390533139</c:v>
                </c:pt>
                <c:pt idx="887">
                  <c:v>586.10634670441357</c:v>
                </c:pt>
                <c:pt idx="888">
                  <c:v>570.418580406969</c:v>
                </c:pt>
                <c:pt idx="889">
                  <c:v>554.69450119336761</c:v>
                </c:pt>
                <c:pt idx="890">
                  <c:v>538.93448424624535</c:v>
                </c:pt>
                <c:pt idx="891">
                  <c:v>523.13890373163792</c:v>
                </c:pt>
                <c:pt idx="892">
                  <c:v>507.30813278036345</c:v>
                </c:pt>
                <c:pt idx="893">
                  <c:v>491.44254346965533</c:v>
                </c:pt>
                <c:pt idx="894">
                  <c:v>475.54250680504663</c:v>
                </c:pt>
                <c:pt idx="895">
                  <c:v>459.6083927025058</c:v>
                </c:pt>
                <c:pt idx="896">
                  <c:v>443.6405699708252</c:v>
                </c:pt>
                <c:pt idx="897">
                  <c:v>427.63940629426281</c:v>
                </c:pt>
                <c:pt idx="898">
                  <c:v>411.6052682154376</c:v>
                </c:pt>
                <c:pt idx="899">
                  <c:v>395.53852111847954</c:v>
                </c:pt>
                <c:pt idx="900">
                  <c:v>379.43952921243419</c:v>
                </c:pt>
                <c:pt idx="901">
                  <c:v>363.3086555149228</c:v>
                </c:pt>
                <c:pt idx="902">
                  <c:v>347.14626183605793</c:v>
                </c:pt>
                <c:pt idx="903">
                  <c:v>330.95270876261537</c:v>
                </c:pt>
                <c:pt idx="904">
                  <c:v>314.72835564246191</c:v>
                </c:pt>
                <c:pt idx="905">
                  <c:v>298.47356056924002</c:v>
                </c:pt>
                <c:pt idx="906">
                  <c:v>282.1886803673089</c:v>
                </c:pt>
                <c:pt idx="907">
                  <c:v>265.87407057694259</c:v>
                </c:pt>
                <c:pt idx="908">
                  <c:v>249.53008543978461</c:v>
                </c:pt>
                <c:pt idx="909">
                  <c:v>233.1570778845597</c:v>
                </c:pt>
                <c:pt idx="910">
                  <c:v>216.75539951304216</c:v>
                </c:pt>
                <c:pt idx="911">
                  <c:v>200.32540058628106</c:v>
                </c:pt>
                <c:pt idx="912">
                  <c:v>183.86743001108186</c:v>
                </c:pt>
                <c:pt idx="913">
                  <c:v>167.38183532674441</c:v>
                </c:pt>
                <c:pt idx="914">
                  <c:v>150.86896269205704</c:v>
                </c:pt>
                <c:pt idx="915">
                  <c:v>134.32915687254652</c:v>
                </c:pt>
                <c:pt idx="916">
                  <c:v>117.7627612279833</c:v>
                </c:pt>
                <c:pt idx="917">
                  <c:v>101.17011770014194</c:v>
                </c:pt>
                <c:pt idx="918">
                  <c:v>84.551566800816019</c:v>
                </c:pt>
                <c:pt idx="919">
                  <c:v>67.907447600087224</c:v>
                </c:pt>
                <c:pt idx="920">
                  <c:v>51.238097714847981</c:v>
                </c:pt>
                <c:pt idx="921">
                  <c:v>34.543853297577002</c:v>
                </c:pt>
                <c:pt idx="922">
                  <c:v>17.825049025367225</c:v>
                </c:pt>
                <c:pt idx="923">
                  <c:v>1.0820180892053841</c:v>
                </c:pt>
                <c:pt idx="924">
                  <c:v>-15.684907816497475</c:v>
                </c:pt>
                <c:pt idx="925">
                  <c:v>-15.701686618852097</c:v>
                </c:pt>
                <c:pt idx="926">
                  <c:v>-15.718465444606622</c:v>
                </c:pt>
                <c:pt idx="927">
                  <c:v>-15.735244293760722</c:v>
                </c:pt>
                <c:pt idx="928">
                  <c:v>-15.75202316631407</c:v>
                </c:pt>
                <c:pt idx="929">
                  <c:v>-15.768802062266339</c:v>
                </c:pt>
                <c:pt idx="930">
                  <c:v>-15.785580981617201</c:v>
                </c:pt>
                <c:pt idx="931">
                  <c:v>-15.80235992436633</c:v>
                </c:pt>
                <c:pt idx="932">
                  <c:v>-15.819138890513399</c:v>
                </c:pt>
                <c:pt idx="933">
                  <c:v>-15.835917880058078</c:v>
                </c:pt>
                <c:pt idx="934">
                  <c:v>-15.852696893000042</c:v>
                </c:pt>
                <c:pt idx="935">
                  <c:v>-15.869475929338964</c:v>
                </c:pt>
                <c:pt idx="936">
                  <c:v>-15.886254989074517</c:v>
                </c:pt>
                <c:pt idx="937">
                  <c:v>-15.903034072206372</c:v>
                </c:pt>
                <c:pt idx="938">
                  <c:v>-15.919813178734204</c:v>
                </c:pt>
                <c:pt idx="939">
                  <c:v>-15.936592308657684</c:v>
                </c:pt>
                <c:pt idx="940">
                  <c:v>-15.953371461976484</c:v>
                </c:pt>
                <c:pt idx="941">
                  <c:v>-15.97015063869028</c:v>
                </c:pt>
                <c:pt idx="942">
                  <c:v>-15.986929838798742</c:v>
                </c:pt>
                <c:pt idx="943">
                  <c:v>-16.003709062301546</c:v>
                </c:pt>
                <c:pt idx="944">
                  <c:v>-16.02048830919836</c:v>
                </c:pt>
                <c:pt idx="945">
                  <c:v>-16.037267579488862</c:v>
                </c:pt>
                <c:pt idx="946">
                  <c:v>-16.054046873172723</c:v>
                </c:pt>
                <c:pt idx="947">
                  <c:v>-16.070826190249612</c:v>
                </c:pt>
                <c:pt idx="948">
                  <c:v>-16.087605530719205</c:v>
                </c:pt>
                <c:pt idx="949">
                  <c:v>-16.104384894581177</c:v>
                </c:pt>
                <c:pt idx="950">
                  <c:v>-16.121164281835195</c:v>
                </c:pt>
                <c:pt idx="951">
                  <c:v>-16.137943692480938</c:v>
                </c:pt>
                <c:pt idx="952">
                  <c:v>-16.154723126518075</c:v>
                </c:pt>
                <c:pt idx="953">
                  <c:v>-16.171502583946282</c:v>
                </c:pt>
                <c:pt idx="954">
                  <c:v>-16.188282064765229</c:v>
                </c:pt>
                <c:pt idx="955">
                  <c:v>-16.205061568974589</c:v>
                </c:pt>
                <c:pt idx="956">
                  <c:v>-16.221841096574035</c:v>
                </c:pt>
                <c:pt idx="957">
                  <c:v>-16.238620647563241</c:v>
                </c:pt>
                <c:pt idx="958">
                  <c:v>-16.25540022194188</c:v>
                </c:pt>
                <c:pt idx="959">
                  <c:v>-16.272179819709624</c:v>
                </c:pt>
                <c:pt idx="960">
                  <c:v>-16.288959440866144</c:v>
                </c:pt>
                <c:pt idx="961">
                  <c:v>-16.305739085411115</c:v>
                </c:pt>
                <c:pt idx="962">
                  <c:v>-16.322518753344209</c:v>
                </c:pt>
                <c:pt idx="963">
                  <c:v>-16.339298444665101</c:v>
                </c:pt>
                <c:pt idx="964">
                  <c:v>-16.35607815937346</c:v>
                </c:pt>
                <c:pt idx="965">
                  <c:v>-16.372857897468961</c:v>
                </c:pt>
                <c:pt idx="966">
                  <c:v>-16.389637658951276</c:v>
                </c:pt>
                <c:pt idx="967">
                  <c:v>-16.406417443820082</c:v>
                </c:pt>
                <c:pt idx="968">
                  <c:v>-16.423197252075045</c:v>
                </c:pt>
                <c:pt idx="969">
                  <c:v>-16.439977083715842</c:v>
                </c:pt>
                <c:pt idx="970">
                  <c:v>-16.456756938742146</c:v>
                </c:pt>
                <c:pt idx="971">
                  <c:v>-16.473536817153629</c:v>
                </c:pt>
                <c:pt idx="972">
                  <c:v>-16.490316718949963</c:v>
                </c:pt>
                <c:pt idx="973">
                  <c:v>-16.507096644130822</c:v>
                </c:pt>
                <c:pt idx="974">
                  <c:v>-16.523876592695878</c:v>
                </c:pt>
                <c:pt idx="975">
                  <c:v>-16.540656564644806</c:v>
                </c:pt>
                <c:pt idx="976">
                  <c:v>-16.557436559977276</c:v>
                </c:pt>
                <c:pt idx="977">
                  <c:v>-16.574216578692962</c:v>
                </c:pt>
                <c:pt idx="978">
                  <c:v>-16.590996620791536</c:v>
                </c:pt>
                <c:pt idx="979">
                  <c:v>-16.607776686272672</c:v>
                </c:pt>
                <c:pt idx="980">
                  <c:v>-16.624556775136043</c:v>
                </c:pt>
                <c:pt idx="981">
                  <c:v>-16.641336887381321</c:v>
                </c:pt>
                <c:pt idx="982">
                  <c:v>-16.658117023008181</c:v>
                </c:pt>
                <c:pt idx="983">
                  <c:v>-16.674897182016295</c:v>
                </c:pt>
                <c:pt idx="984">
                  <c:v>-16.691677364405333</c:v>
                </c:pt>
                <c:pt idx="985">
                  <c:v>-16.708457570174971</c:v>
                </c:pt>
                <c:pt idx="986">
                  <c:v>-16.72523779932488</c:v>
                </c:pt>
                <c:pt idx="987">
                  <c:v>-16.742018051854735</c:v>
                </c:pt>
                <c:pt idx="988">
                  <c:v>-16.758798327764207</c:v>
                </c:pt>
                <c:pt idx="989">
                  <c:v>-16.775578627052969</c:v>
                </c:pt>
                <c:pt idx="990">
                  <c:v>-16.792358949720693</c:v>
                </c:pt>
                <c:pt idx="991">
                  <c:v>-16.809139295767054</c:v>
                </c:pt>
                <c:pt idx="992">
                  <c:v>-16.825919665191723</c:v>
                </c:pt>
                <c:pt idx="993">
                  <c:v>-16.842700057994374</c:v>
                </c:pt>
                <c:pt idx="994">
                  <c:v>-16.859480474174681</c:v>
                </c:pt>
                <c:pt idx="995">
                  <c:v>-16.876260913732317</c:v>
                </c:pt>
                <c:pt idx="996">
                  <c:v>-16.893041376666954</c:v>
                </c:pt>
                <c:pt idx="997">
                  <c:v>-16.909821862978262</c:v>
                </c:pt>
                <c:pt idx="998">
                  <c:v>-16.926602372665918</c:v>
                </c:pt>
                <c:pt idx="999">
                  <c:v>-16.943382905729592</c:v>
                </c:pt>
                <c:pt idx="1000">
                  <c:v>-16.960163462168957</c:v>
                </c:pt>
              </c:numCache>
            </c:numRef>
          </c:yVal>
          <c:smooth val="1"/>
          <c:extLst>
            <c:ext xmlns:c16="http://schemas.microsoft.com/office/drawing/2014/chart" uri="{C3380CC4-5D6E-409C-BE32-E72D297353CC}">
              <c16:uniqueId val="{00000002-AEC5-4DB4-900B-02E79FDE56EC}"/>
            </c:ext>
          </c:extLst>
        </c:ser>
        <c:ser>
          <c:idx val="2"/>
          <c:order val="3"/>
          <c:tx>
            <c:strRef>
              <c:f>Trajecto!$B$108</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AEC5-4DB4-900B-02E79FDE56E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Trajecto!$B$131:$B$137</c:f>
              <c:numCache>
                <c:formatCode>0.0</c:formatCode>
                <c:ptCount val="7"/>
                <c:pt idx="0">
                  <c:v>21</c:v>
                </c:pt>
                <c:pt idx="1">
                  <c:v>188.71789005551511</c:v>
                </c:pt>
                <c:pt idx="2">
                  <c:v>356.43578011103023</c:v>
                </c:pt>
                <c:pt idx="3">
                  <c:v>354.34504500404682</c:v>
                </c:pt>
                <c:pt idx="4">
                  <c:v>356.43578011103023</c:v>
                </c:pt>
                <c:pt idx="5">
                  <c:v>349.60504500404681</c:v>
                </c:pt>
                <c:pt idx="6">
                  <c:v>356.43578011103023</c:v>
                </c:pt>
              </c:numCache>
            </c:numRef>
          </c:xVal>
          <c:yVal>
            <c:numRef>
              <c:f>Trajecto!$C$129:$C$135</c:f>
              <c:numCache>
                <c:formatCode>0</c:formatCode>
                <c:ptCount val="7"/>
                <c:pt idx="0">
                  <c:v>2482.7231990371388</c:v>
                </c:pt>
                <c:pt idx="1">
                  <c:v>1241.3615995185694</c:v>
                </c:pt>
                <c:pt idx="2">
                  <c:v>0</c:v>
                </c:pt>
                <c:pt idx="3">
                  <c:v>48.758484000892246</c:v>
                </c:pt>
                <c:pt idx="4">
                  <c:v>0</c:v>
                </c:pt>
                <c:pt idx="5">
                  <c:v>17.555153663295435</c:v>
                </c:pt>
                <c:pt idx="6">
                  <c:v>0</c:v>
                </c:pt>
              </c:numCache>
            </c:numRef>
          </c:yVal>
          <c:smooth val="0"/>
          <c:extLst>
            <c:ext xmlns:c16="http://schemas.microsoft.com/office/drawing/2014/chart" uri="{C3380CC4-5D6E-409C-BE32-E72D297353CC}">
              <c16:uniqueId val="{00000004-AEC5-4DB4-900B-02E79FDE56EC}"/>
            </c:ext>
          </c:extLst>
        </c:ser>
        <c:ser>
          <c:idx val="3"/>
          <c:order val="4"/>
          <c:tx>
            <c:strRef>
              <c:f>Trajecto!$B$109</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AEC5-4DB4-900B-02E79FDE56E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Trajecto!$B$148:$B$154</c:f>
              <c:numCache>
                <c:formatCode>0.0</c:formatCode>
                <c:ptCount val="7"/>
                <c:pt idx="0">
                  <c:v>0</c:v>
                </c:pt>
                <c:pt idx="1">
                  <c:v>0</c:v>
                </c:pt>
                <c:pt idx="2">
                  <c:v>0</c:v>
                </c:pt>
                <c:pt idx="3">
                  <c:v>0</c:v>
                </c:pt>
                <c:pt idx="4">
                  <c:v>0</c:v>
                </c:pt>
                <c:pt idx="5">
                  <c:v>0</c:v>
                </c:pt>
                <c:pt idx="6">
                  <c:v>0</c:v>
                </c:pt>
              </c:numCache>
            </c:numRef>
          </c:xVal>
          <c:yVal>
            <c:numRef>
              <c:f>Trajecto!$C$146:$C$152</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AEC5-4DB4-900B-02E79FDE56EC}"/>
            </c:ext>
          </c:extLst>
        </c:ser>
        <c:ser>
          <c:idx val="5"/>
          <c:order val="5"/>
          <c:tx>
            <c:strRef>
              <c:f>Trajecto!$B$106</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47.400100000000343</c:v>
                </c:pt>
                <c:pt idx="926">
                  <c:v>47.400200000000346</c:v>
                </c:pt>
                <c:pt idx="927">
                  <c:v>47.40030000000035</c:v>
                </c:pt>
                <c:pt idx="928">
                  <c:v>47.400400000000353</c:v>
                </c:pt>
                <c:pt idx="929">
                  <c:v>47.400500000000356</c:v>
                </c:pt>
                <c:pt idx="930">
                  <c:v>47.40060000000036</c:v>
                </c:pt>
                <c:pt idx="931">
                  <c:v>47.400700000000363</c:v>
                </c:pt>
                <c:pt idx="932">
                  <c:v>47.400800000000366</c:v>
                </c:pt>
                <c:pt idx="933">
                  <c:v>47.40090000000037</c:v>
                </c:pt>
                <c:pt idx="934">
                  <c:v>47.401000000000373</c:v>
                </c:pt>
                <c:pt idx="935">
                  <c:v>47.401100000000376</c:v>
                </c:pt>
                <c:pt idx="936">
                  <c:v>47.401200000000379</c:v>
                </c:pt>
                <c:pt idx="937">
                  <c:v>47.401300000000383</c:v>
                </c:pt>
                <c:pt idx="938">
                  <c:v>47.401400000000386</c:v>
                </c:pt>
                <c:pt idx="939">
                  <c:v>47.401500000000389</c:v>
                </c:pt>
                <c:pt idx="940">
                  <c:v>47.401600000000393</c:v>
                </c:pt>
                <c:pt idx="941">
                  <c:v>47.401700000000396</c:v>
                </c:pt>
                <c:pt idx="942">
                  <c:v>47.401800000000399</c:v>
                </c:pt>
                <c:pt idx="943">
                  <c:v>47.401900000000403</c:v>
                </c:pt>
                <c:pt idx="944">
                  <c:v>47.402000000000406</c:v>
                </c:pt>
                <c:pt idx="945">
                  <c:v>47.402100000000409</c:v>
                </c:pt>
                <c:pt idx="946">
                  <c:v>47.402200000000413</c:v>
                </c:pt>
                <c:pt idx="947">
                  <c:v>47.402300000000416</c:v>
                </c:pt>
                <c:pt idx="948">
                  <c:v>47.402400000000419</c:v>
                </c:pt>
                <c:pt idx="949">
                  <c:v>47.402500000000423</c:v>
                </c:pt>
                <c:pt idx="950">
                  <c:v>47.402600000000426</c:v>
                </c:pt>
                <c:pt idx="951">
                  <c:v>47.402700000000429</c:v>
                </c:pt>
                <c:pt idx="952">
                  <c:v>47.402800000000433</c:v>
                </c:pt>
                <c:pt idx="953">
                  <c:v>47.402900000000436</c:v>
                </c:pt>
                <c:pt idx="954">
                  <c:v>47.403000000000439</c:v>
                </c:pt>
                <c:pt idx="955">
                  <c:v>47.403100000000443</c:v>
                </c:pt>
                <c:pt idx="956">
                  <c:v>47.403200000000446</c:v>
                </c:pt>
                <c:pt idx="957">
                  <c:v>47.403300000000449</c:v>
                </c:pt>
                <c:pt idx="958">
                  <c:v>47.403400000000453</c:v>
                </c:pt>
                <c:pt idx="959">
                  <c:v>47.403500000000456</c:v>
                </c:pt>
                <c:pt idx="960">
                  <c:v>47.403600000000459</c:v>
                </c:pt>
                <c:pt idx="961">
                  <c:v>47.403700000000462</c:v>
                </c:pt>
                <c:pt idx="962">
                  <c:v>47.403800000000466</c:v>
                </c:pt>
                <c:pt idx="963">
                  <c:v>47.403900000000469</c:v>
                </c:pt>
                <c:pt idx="964">
                  <c:v>47.404000000000472</c:v>
                </c:pt>
                <c:pt idx="965">
                  <c:v>47.404100000000476</c:v>
                </c:pt>
                <c:pt idx="966">
                  <c:v>47.404200000000479</c:v>
                </c:pt>
                <c:pt idx="967">
                  <c:v>47.404300000000482</c:v>
                </c:pt>
                <c:pt idx="968">
                  <c:v>47.404400000000486</c:v>
                </c:pt>
                <c:pt idx="969">
                  <c:v>47.404500000000489</c:v>
                </c:pt>
                <c:pt idx="970">
                  <c:v>47.404600000000492</c:v>
                </c:pt>
                <c:pt idx="971">
                  <c:v>47.404700000000496</c:v>
                </c:pt>
                <c:pt idx="972">
                  <c:v>47.404800000000499</c:v>
                </c:pt>
                <c:pt idx="973">
                  <c:v>47.404900000000502</c:v>
                </c:pt>
                <c:pt idx="974">
                  <c:v>47.405000000000506</c:v>
                </c:pt>
                <c:pt idx="975">
                  <c:v>47.405100000000509</c:v>
                </c:pt>
                <c:pt idx="976">
                  <c:v>47.405200000000512</c:v>
                </c:pt>
                <c:pt idx="977">
                  <c:v>47.405300000000516</c:v>
                </c:pt>
                <c:pt idx="978">
                  <c:v>47.405400000000519</c:v>
                </c:pt>
                <c:pt idx="979">
                  <c:v>47.405500000000522</c:v>
                </c:pt>
                <c:pt idx="980">
                  <c:v>47.405600000000526</c:v>
                </c:pt>
                <c:pt idx="981">
                  <c:v>47.405700000000529</c:v>
                </c:pt>
                <c:pt idx="982">
                  <c:v>47.405800000000532</c:v>
                </c:pt>
                <c:pt idx="983">
                  <c:v>47.405900000000535</c:v>
                </c:pt>
                <c:pt idx="984">
                  <c:v>47.406000000000539</c:v>
                </c:pt>
                <c:pt idx="985">
                  <c:v>47.406100000000542</c:v>
                </c:pt>
                <c:pt idx="986">
                  <c:v>47.406200000000545</c:v>
                </c:pt>
                <c:pt idx="987">
                  <c:v>47.406300000000549</c:v>
                </c:pt>
                <c:pt idx="988">
                  <c:v>47.406400000000552</c:v>
                </c:pt>
                <c:pt idx="989">
                  <c:v>47.406500000000555</c:v>
                </c:pt>
                <c:pt idx="990">
                  <c:v>47.406600000000559</c:v>
                </c:pt>
                <c:pt idx="991">
                  <c:v>47.406700000000562</c:v>
                </c:pt>
                <c:pt idx="992">
                  <c:v>47.406800000000565</c:v>
                </c:pt>
                <c:pt idx="993">
                  <c:v>47.406900000000569</c:v>
                </c:pt>
                <c:pt idx="994">
                  <c:v>47.407000000000572</c:v>
                </c:pt>
                <c:pt idx="995">
                  <c:v>47.407100000000575</c:v>
                </c:pt>
                <c:pt idx="996">
                  <c:v>47.407200000000579</c:v>
                </c:pt>
                <c:pt idx="997">
                  <c:v>47.407300000000582</c:v>
                </c:pt>
                <c:pt idx="998">
                  <c:v>47.407400000000585</c:v>
                </c:pt>
                <c:pt idx="999">
                  <c:v>47.407500000000589</c:v>
                </c:pt>
                <c:pt idx="1000">
                  <c:v>47.407600000000592</c:v>
                </c:pt>
              </c:numCache>
            </c:numRef>
          </c:xVal>
          <c:yVal>
            <c:numRef>
              <c:f>Calculs!$AE$4:$AE$1004</c:f>
              <c:numCache>
                <c:formatCode>0</c:formatCode>
                <c:ptCount val="1001"/>
                <c:pt idx="0">
                  <c:v>0</c:v>
                </c:pt>
                <c:pt idx="1">
                  <c:v>3.6937359344706394E-4</c:v>
                </c:pt>
                <c:pt idx="2">
                  <c:v>2.409843196968374E-3</c:v>
                </c:pt>
                <c:pt idx="3">
                  <c:v>7.440741493872579E-3</c:v>
                </c:pt>
                <c:pt idx="4">
                  <c:v>1.623630438492359E-2</c:v>
                </c:pt>
                <c:pt idx="5">
                  <c:v>2.9571348273326512E-2</c:v>
                </c:pt>
                <c:pt idx="6">
                  <c:v>4.8221358059421959E-2</c:v>
                </c:pt>
                <c:pt idx="7">
                  <c:v>7.296257457439749E-2</c:v>
                </c:pt>
                <c:pt idx="8">
                  <c:v>0.10457208148333813</c:v>
                </c:pt>
                <c:pt idx="9">
                  <c:v>0.1438278916872418</c:v>
                </c:pt>
                <c:pt idx="10">
                  <c:v>0.19150903325295746</c:v>
                </c:pt>
                <c:pt idx="11">
                  <c:v>0.24817296831150651</c:v>
                </c:pt>
                <c:pt idx="12">
                  <c:v>0.31393252335261035</c:v>
                </c:pt>
                <c:pt idx="13">
                  <c:v>0.38867618672903692</c:v>
                </c:pt>
                <c:pt idx="14">
                  <c:v>0.47228885012694549</c:v>
                </c:pt>
                <c:pt idx="15">
                  <c:v>0.56465350225469901</c:v>
                </c:pt>
                <c:pt idx="16">
                  <c:v>0.66565292596421655</c:v>
                </c:pt>
                <c:pt idx="17">
                  <c:v>0.77516970154074527</c:v>
                </c:pt>
                <c:pt idx="18">
                  <c:v>0.8930862099908885</c:v>
                </c:pt>
                <c:pt idx="19">
                  <c:v>1.0192846363284953</c:v>
                </c:pt>
                <c:pt idx="20">
                  <c:v>1.1536469728580168</c:v>
                </c:pt>
                <c:pt idx="21">
                  <c:v>1.2960550224549374</c:v>
                </c:pt>
                <c:pt idx="22">
                  <c:v>1.4463904018428917</c:v>
                </c:pt>
                <c:pt idx="23">
                  <c:v>1.6045345448670789</c:v>
                </c:pt>
                <c:pt idx="24">
                  <c:v>1.7703687057635917</c:v>
                </c:pt>
                <c:pt idx="25">
                  <c:v>1.9437739624242751</c:v>
                </c:pt>
                <c:pt idx="26">
                  <c:v>2.1246312196567372</c:v>
                </c:pt>
                <c:pt idx="27">
                  <c:v>2.3128511191445789</c:v>
                </c:pt>
                <c:pt idx="28">
                  <c:v>2.5084039963978619</c:v>
                </c:pt>
                <c:pt idx="29">
                  <c:v>2.7112900453318853</c:v>
                </c:pt>
                <c:pt idx="30">
                  <c:v>2.9215094342123353</c:v>
                </c:pt>
                <c:pt idx="31">
                  <c:v>3.1390623056262128</c:v>
                </c:pt>
                <c:pt idx="32">
                  <c:v>3.3639487764531877</c:v>
                </c:pt>
                <c:pt idx="33">
                  <c:v>3.596168937837386</c:v>
                </c:pt>
                <c:pt idx="34">
                  <c:v>3.8357228551596076</c:v>
                </c:pt>
                <c:pt idx="35">
                  <c:v>4.0826105680099767</c:v>
                </c:pt>
                <c:pt idx="36">
                  <c:v>4.336817293532202</c:v>
                </c:pt>
                <c:pt idx="37">
                  <c:v>4.5983277538632219</c:v>
                </c:pt>
                <c:pt idx="38">
                  <c:v>4.8671409756608819</c:v>
                </c:pt>
                <c:pt idx="39">
                  <c:v>5.1432559719222475</c:v>
                </c:pt>
                <c:pt idx="40">
                  <c:v>5.4266717479223958</c:v>
                </c:pt>
                <c:pt idx="41">
                  <c:v>5.7173873003768731</c:v>
                </c:pt>
                <c:pt idx="42">
                  <c:v>6.0154016166609923</c:v>
                </c:pt>
                <c:pt idx="43">
                  <c:v>6.3207136740807677</c:v>
                </c:pt>
                <c:pt idx="44">
                  <c:v>6.6333224391908958</c:v>
                </c:pt>
                <c:pt idx="45">
                  <c:v>6.9532268671556769</c:v>
                </c:pt>
                <c:pt idx="46">
                  <c:v>7.2804259011492434</c:v>
                </c:pt>
                <c:pt idx="47">
                  <c:v>7.6149184717918317</c:v>
                </c:pt>
                <c:pt idx="48">
                  <c:v>7.9567034966191779</c:v>
                </c:pt>
                <c:pt idx="49">
                  <c:v>8.3057798795824134</c:v>
                </c:pt>
                <c:pt idx="50">
                  <c:v>8.6621465105761057</c:v>
                </c:pt>
                <c:pt idx="51">
                  <c:v>9.0258022649923042</c:v>
                </c:pt>
                <c:pt idx="52">
                  <c:v>9.39674600329867</c:v>
                </c:pt>
                <c:pt idx="53">
                  <c:v>9.7749765706389393</c:v>
                </c:pt>
                <c:pt idx="54">
                  <c:v>10.160492796454141</c:v>
                </c:pt>
                <c:pt idx="55">
                  <c:v>10.553293494123118</c:v>
                </c:pt>
                <c:pt idx="56">
                  <c:v>10.953377460621033</c:v>
                </c:pt>
                <c:pt idx="57">
                  <c:v>11.36074347619468</c:v>
                </c:pt>
                <c:pt idx="58">
                  <c:v>11.775390304053468</c:v>
                </c:pt>
                <c:pt idx="59">
                  <c:v>12.197316690075109</c:v>
                </c:pt>
                <c:pt idx="60">
                  <c:v>12.626521362525043</c:v>
                </c:pt>
                <c:pt idx="61">
                  <c:v>13.063003031788798</c:v>
                </c:pt>
                <c:pt idx="62">
                  <c:v>13.506760390116462</c:v>
                </c:pt>
                <c:pt idx="63">
                  <c:v>13.957792111378586</c:v>
                </c:pt>
                <c:pt idx="64">
                  <c:v>14.416096850832806</c:v>
                </c:pt>
                <c:pt idx="65">
                  <c:v>14.88167324490062</c:v>
                </c:pt>
                <c:pt idx="66">
                  <c:v>15.354519910953712</c:v>
                </c:pt>
                <c:pt idx="67">
                  <c:v>15.834635447109322</c:v>
                </c:pt>
                <c:pt idx="68">
                  <c:v>16.322018432034156</c:v>
                </c:pt>
                <c:pt idx="69">
                  <c:v>16.816667424756393</c:v>
                </c:pt>
                <c:pt idx="70">
                  <c:v>17.318580964485363</c:v>
                </c:pt>
                <c:pt idx="71">
                  <c:v>17.827757570438511</c:v>
                </c:pt>
                <c:pt idx="72">
                  <c:v>18.344195401050573</c:v>
                </c:pt>
                <c:pt idx="73">
                  <c:v>18.867891912765909</c:v>
                </c:pt>
                <c:pt idx="74">
                  <c:v>19.398844199907973</c:v>
                </c:pt>
                <c:pt idx="75">
                  <c:v>19.937049334983051</c:v>
                </c:pt>
                <c:pt idx="76">
                  <c:v>20.482504368548444</c:v>
                </c:pt>
                <c:pt idx="77">
                  <c:v>21.035206329086257</c:v>
                </c:pt>
                <c:pt idx="78">
                  <c:v>21.595152222882575</c:v>
                </c:pt>
                <c:pt idx="79">
                  <c:v>22.162339033911731</c:v>
                </c:pt>
                <c:pt idx="80">
                  <c:v>22.736763723725492</c:v>
                </c:pt>
                <c:pt idx="81">
                  <c:v>23.318423231346934</c:v>
                </c:pt>
                <c:pt idx="82">
                  <c:v>23.907314473168796</c:v>
                </c:pt>
                <c:pt idx="83">
                  <c:v>24.503434342856153</c:v>
                </c:pt>
                <c:pt idx="84">
                  <c:v>25.106779711253207</c:v>
                </c:pt>
                <c:pt idx="85">
                  <c:v>25.717347426294037</c:v>
                </c:pt>
                <c:pt idx="86">
                  <c:v>26.335134312917177</c:v>
                </c:pt>
                <c:pt idx="87">
                  <c:v>26.960137172983831</c:v>
                </c:pt>
                <c:pt idx="88">
                  <c:v>27.592352785199633</c:v>
                </c:pt>
                <c:pt idx="89">
                  <c:v>28.23177790503977</c:v>
                </c:pt>
                <c:pt idx="90">
                  <c:v>28.878409264677394</c:v>
                </c:pt>
                <c:pt idx="91">
                  <c:v>29.532243572915171</c:v>
                </c:pt>
                <c:pt idx="92">
                  <c:v>30.193277515119874</c:v>
                </c:pt>
                <c:pt idx="93">
                  <c:v>30.861507753159898</c:v>
                </c:pt>
                <c:pt idx="94">
                  <c:v>31.536930925345615</c:v>
                </c:pt>
                <c:pt idx="95">
                  <c:v>32.219543646372458</c:v>
                </c:pt>
                <c:pt idx="96">
                  <c:v>32.909342507266665</c:v>
                </c:pt>
                <c:pt idx="97">
                  <c:v>33.606324075333561</c:v>
                </c:pt>
                <c:pt idx="98">
                  <c:v>34.310484894108342</c:v>
                </c:pt>
                <c:pt idx="99">
                  <c:v>35.021821483309246</c:v>
                </c:pt>
                <c:pt idx="100">
                  <c:v>35.740330338793065</c:v>
                </c:pt>
                <c:pt idx="101">
                  <c:v>36.466007932512895</c:v>
                </c:pt>
                <c:pt idx="102">
                  <c:v>37.198850712478098</c:v>
                </c:pt>
                <c:pt idx="103">
                  <c:v>37.938855102716381</c:v>
                </c:pt>
                <c:pt idx="104">
                  <c:v>38.686017503237935</c:v>
                </c:pt>
                <c:pt idx="105">
                  <c:v>39.440334290001601</c:v>
                </c:pt>
                <c:pt idx="106">
                  <c:v>40.201801814882984</c:v>
                </c:pt>
                <c:pt idx="107">
                  <c:v>40.970416405644443</c:v>
                </c:pt>
                <c:pt idx="108">
                  <c:v>41.74617436590696</c:v>
                </c:pt>
                <c:pt idx="109">
                  <c:v>42.529071975123799</c:v>
                </c:pt>
                <c:pt idx="110">
                  <c:v>43.319105488555927</c:v>
                </c:pt>
                <c:pt idx="111">
                  <c:v>44.116271137249136</c:v>
                </c:pt>
                <c:pt idx="112">
                  <c:v>44.920565128012832</c:v>
                </c:pt>
                <c:pt idx="113">
                  <c:v>45.731983643400469</c:v>
                </c:pt>
                <c:pt idx="114">
                  <c:v>46.550522841691546</c:v>
                </c:pt>
                <c:pt idx="115">
                  <c:v>47.376178856875185</c:v>
                </c:pt>
                <c:pt idx="116">
                  <c:v>48.208947798635201</c:v>
                </c:pt>
                <c:pt idx="117">
                  <c:v>49.048825752336661</c:v>
                </c:pt>
                <c:pt idx="118">
                  <c:v>49.895808779013905</c:v>
                </c:pt>
                <c:pt idx="119">
                  <c:v>50.749892915359951</c:v>
                </c:pt>
                <c:pt idx="120">
                  <c:v>51.611074173717334</c:v>
                </c:pt>
                <c:pt idx="121">
                  <c:v>52.479348542070248</c:v>
                </c:pt>
                <c:pt idx="122">
                  <c:v>53.354711984038062</c:v>
                </c:pt>
                <c:pt idx="123">
                  <c:v>54.237160438870106</c:v>
                </c:pt>
                <c:pt idx="124">
                  <c:v>55.126689821441772</c:v>
                </c:pt>
                <c:pt idx="125">
                  <c:v>56.023296022251806</c:v>
                </c:pt>
                <c:pt idx="126">
                  <c:v>56.926974907420878</c:v>
                </c:pt>
                <c:pt idx="127">
                  <c:v>57.837722318691327</c:v>
                </c:pt>
                <c:pt idx="128">
                  <c:v>58.755534073428123</c:v>
                </c:pt>
                <c:pt idx="129">
                  <c:v>59.680404399144614</c:v>
                </c:pt>
                <c:pt idx="130">
                  <c:v>60.612324366313949</c:v>
                </c:pt>
                <c:pt idx="131">
                  <c:v>61.551283451619859</c:v>
                </c:pt>
                <c:pt idx="132">
                  <c:v>62.497271102957384</c:v>
                </c:pt>
                <c:pt idx="133">
                  <c:v>63.45027673950603</c:v>
                </c:pt>
                <c:pt idx="134">
                  <c:v>64.410289751804186</c:v>
                </c:pt>
                <c:pt idx="135">
                  <c:v>65.377299501824808</c:v>
                </c:pt>
                <c:pt idx="136">
                  <c:v>66.351295323052284</c:v>
                </c:pt>
                <c:pt idx="137">
                  <c:v>67.332266520560481</c:v>
                </c:pt>
                <c:pt idx="138">
                  <c:v>68.320202371092023</c:v>
                </c:pt>
                <c:pt idx="139">
                  <c:v>69.315092123138626</c:v>
                </c:pt>
                <c:pt idx="140">
                  <c:v>70.31692499702261</c:v>
                </c:pt>
                <c:pt idx="141">
                  <c:v>71.325690184979493</c:v>
                </c:pt>
                <c:pt idx="142">
                  <c:v>72.34137685124162</c:v>
                </c:pt>
                <c:pt idx="143">
                  <c:v>73.36397413212292</c:v>
                </c:pt>
                <c:pt idx="144">
                  <c:v>74.393471136104637</c:v>
                </c:pt>
                <c:pt idx="145">
                  <c:v>75.429856943922118</c:v>
                </c:pt>
                <c:pt idx="146">
                  <c:v>76.473120608652536</c:v>
                </c:pt>
                <c:pt idx="147">
                  <c:v>77.523251155803649</c:v>
                </c:pt>
                <c:pt idx="148">
                  <c:v>78.580237583403516</c:v>
                </c:pt>
                <c:pt idx="149">
                  <c:v>79.644068862091089</c:v>
                </c:pt>
                <c:pt idx="150">
                  <c:v>80.714733935207803</c:v>
                </c:pt>
                <c:pt idx="151">
                  <c:v>81.792221718890033</c:v>
                </c:pt>
                <c:pt idx="152">
                  <c:v>82.876521102162428</c:v>
                </c:pt>
                <c:pt idx="153">
                  <c:v>83.96762094703216</c:v>
                </c:pt>
                <c:pt idx="154">
                  <c:v>85.065510088583991</c:v>
                </c:pt>
                <c:pt idx="155">
                  <c:v>86.170177335076204</c:v>
                </c:pt>
                <c:pt idx="156">
                  <c:v>87.28161146803734</c:v>
                </c:pt>
                <c:pt idx="157">
                  <c:v>88.399801242363779</c:v>
                </c:pt>
                <c:pt idx="158">
                  <c:v>89.524735386418087</c:v>
                </c:pt>
                <c:pt idx="159">
                  <c:v>90.656402602128168</c:v>
                </c:pt>
                <c:pt idx="160">
                  <c:v>91.794791565087138</c:v>
                </c:pt>
                <c:pt idx="161">
                  <c:v>92.939890924654023</c:v>
                </c:pt>
                <c:pt idx="162">
                  <c:v>94.091689304055166</c:v>
                </c:pt>
                <c:pt idx="163">
                  <c:v>95.250175300486362</c:v>
                </c:pt>
                <c:pt idx="164">
                  <c:v>96.415337485215687</c:v>
                </c:pt>
                <c:pt idx="165">
                  <c:v>97.587164403687083</c:v>
                </c:pt>
                <c:pt idx="166">
                  <c:v>98.765644575624592</c:v>
                </c:pt>
                <c:pt idx="167">
                  <c:v>99.950766495137273</c:v>
                </c:pt>
                <c:pt idx="168">
                  <c:v>101.14251863082478</c:v>
                </c:pt>
                <c:pt idx="169">
                  <c:v>102.34088942588367</c:v>
                </c:pt>
                <c:pt idx="170">
                  <c:v>103.54586729821423</c:v>
                </c:pt>
                <c:pt idx="171">
                  <c:v>104.75744064052802</c:v>
                </c:pt>
                <c:pt idx="172">
                  <c:v>105.975597820456</c:v>
                </c:pt>
                <c:pt idx="173">
                  <c:v>107.20032718065733</c:v>
                </c:pt>
                <c:pt idx="174">
                  <c:v>108.43161703892868</c:v>
                </c:pt>
                <c:pt idx="175">
                  <c:v>109.66945568831419</c:v>
                </c:pt>
                <c:pt idx="176">
                  <c:v>110.91383139721597</c:v>
                </c:pt>
                <c:pt idx="177">
                  <c:v>112.16473240950522</c:v>
                </c:pt>
                <c:pt idx="178">
                  <c:v>113.42214694463382</c:v>
                </c:pt>
                <c:pt idx="179">
                  <c:v>114.68606319774661</c:v>
                </c:pt>
                <c:pt idx="180">
                  <c:v>115.956469339794</c:v>
                </c:pt>
                <c:pt idx="181">
                  <c:v>117.23335351764533</c:v>
                </c:pt>
                <c:pt idx="182">
                  <c:v>118.5167038542026</c:v>
                </c:pt>
                <c:pt idx="183">
                  <c:v>119.80650844851476</c:v>
                </c:pt>
                <c:pt idx="184">
                  <c:v>121.1027553758925</c:v>
                </c:pt>
                <c:pt idx="185">
                  <c:v>122.4054326880235</c:v>
                </c:pt>
                <c:pt idx="186">
                  <c:v>123.71452841308822</c:v>
                </c:pt>
                <c:pt idx="187">
                  <c:v>125.0300305558761</c:v>
                </c:pt>
                <c:pt idx="188">
                  <c:v>126.35192709790223</c:v>
                </c:pt>
                <c:pt idx="189">
                  <c:v>127.68020599752458</c:v>
                </c:pt>
                <c:pt idx="190">
                  <c:v>129.0148551900615</c:v>
                </c:pt>
                <c:pt idx="191">
                  <c:v>130.35586258790974</c:v>
                </c:pt>
                <c:pt idx="192">
                  <c:v>131.70321608066297</c:v>
                </c:pt>
                <c:pt idx="193">
                  <c:v>133.05690353523062</c:v>
                </c:pt>
                <c:pt idx="194">
                  <c:v>134.41691279595719</c:v>
                </c:pt>
                <c:pt idx="195">
                  <c:v>135.78323168474185</c:v>
                </c:pt>
                <c:pt idx="196">
                  <c:v>137.15584800115866</c:v>
                </c:pt>
                <c:pt idx="197">
                  <c:v>138.53474952257696</c:v>
                </c:pt>
                <c:pt idx="198">
                  <c:v>139.91992400428219</c:v>
                </c:pt>
                <c:pt idx="199">
                  <c:v>141.31135917959716</c:v>
                </c:pt>
                <c:pt idx="200">
                  <c:v>142.70904276000368</c:v>
                </c:pt>
                <c:pt idx="201">
                  <c:v>144.11296243526439</c:v>
                </c:pt>
                <c:pt idx="202">
                  <c:v>145.52310587354515</c:v>
                </c:pt>
                <c:pt idx="203">
                  <c:v>146.93946072153759</c:v>
                </c:pt>
                <c:pt idx="204">
                  <c:v>148.36201460458213</c:v>
                </c:pt>
                <c:pt idx="205">
                  <c:v>149.79075512679125</c:v>
                </c:pt>
                <c:pt idx="206">
                  <c:v>151.22566949051395</c:v>
                </c:pt>
                <c:pt idx="207">
                  <c:v>152.66674411552015</c:v>
                </c:pt>
                <c:pt idx="208">
                  <c:v>154.11396501950296</c:v>
                </c:pt>
                <c:pt idx="209">
                  <c:v>155.56731819887074</c:v>
                </c:pt>
                <c:pt idx="210">
                  <c:v>157.02678962889007</c:v>
                </c:pt>
                <c:pt idx="211">
                  <c:v>158.49236526382896</c:v>
                </c:pt>
                <c:pt idx="212">
                  <c:v>159.96403103710037</c:v>
                </c:pt>
                <c:pt idx="213">
                  <c:v>161.44177286140587</c:v>
                </c:pt>
                <c:pt idx="214">
                  <c:v>162.92557662887964</c:v>
                </c:pt>
                <c:pt idx="215">
                  <c:v>164.41542821123264</c:v>
                </c:pt>
                <c:pt idx="216">
                  <c:v>165.91131345989692</c:v>
                </c:pt>
                <c:pt idx="217">
                  <c:v>167.41321820617031</c:v>
                </c:pt>
                <c:pt idx="218">
                  <c:v>168.92112826136116</c:v>
                </c:pt>
                <c:pt idx="219">
                  <c:v>170.43502941693336</c:v>
                </c:pt>
                <c:pt idx="220">
                  <c:v>171.95490744465144</c:v>
                </c:pt>
                <c:pt idx="221">
                  <c:v>173.48074809672596</c:v>
                </c:pt>
                <c:pt idx="222">
                  <c:v>175.01253710595907</c:v>
                </c:pt>
                <c:pt idx="223">
                  <c:v>176.5502601858901</c:v>
                </c:pt>
                <c:pt idx="224">
                  <c:v>178.09390303094145</c:v>
                </c:pt>
                <c:pt idx="225">
                  <c:v>179.64345131656452</c:v>
                </c:pt>
                <c:pt idx="226">
                  <c:v>181.19889069938594</c:v>
                </c:pt>
                <c:pt idx="227">
                  <c:v>182.76020681735366</c:v>
                </c:pt>
                <c:pt idx="228">
                  <c:v>184.32738528988347</c:v>
                </c:pt>
                <c:pt idx="229">
                  <c:v>185.90041171800542</c:v>
                </c:pt>
                <c:pt idx="230">
                  <c:v>187.47927168451051</c:v>
                </c:pt>
                <c:pt idx="231">
                  <c:v>189.06395075409728</c:v>
                </c:pt>
                <c:pt idx="232">
                  <c:v>190.65443447351876</c:v>
                </c:pt>
                <c:pt idx="233">
                  <c:v>192.2507083717293</c:v>
                </c:pt>
                <c:pt idx="234">
                  <c:v>193.8527579600316</c:v>
                </c:pt>
                <c:pt idx="235">
                  <c:v>195.46056873222372</c:v>
                </c:pt>
                <c:pt idx="236">
                  <c:v>197.0741261647463</c:v>
                </c:pt>
                <c:pt idx="237">
                  <c:v>198.69341571682972</c:v>
                </c:pt>
                <c:pt idx="238">
                  <c:v>200.31842283064137</c:v>
                </c:pt>
                <c:pt idx="239">
                  <c:v>201.94913293143298</c:v>
                </c:pt>
                <c:pt idx="240">
                  <c:v>203.58553142768801</c:v>
                </c:pt>
                <c:pt idx="241">
                  <c:v>205.22760371126896</c:v>
                </c:pt>
                <c:pt idx="242">
                  <c:v>206.87533384250113</c:v>
                </c:pt>
                <c:pt idx="243">
                  <c:v>208.52870323452919</c:v>
                </c:pt>
                <c:pt idx="244">
                  <c:v>210.1876919680021</c:v>
                </c:pt>
                <c:pt idx="245">
                  <c:v>211.85228010651844</c:v>
                </c:pt>
                <c:pt idx="246">
                  <c:v>213.52244769683969</c:v>
                </c:pt>
                <c:pt idx="247">
                  <c:v>215.19817476910347</c:v>
                </c:pt>
                <c:pt idx="248">
                  <c:v>216.87944133703644</c:v>
                </c:pt>
                <c:pt idx="249">
                  <c:v>218.56622739816703</c:v>
                </c:pt>
                <c:pt idx="250">
                  <c:v>220.25851293403795</c:v>
                </c:pt>
                <c:pt idx="251">
                  <c:v>221.95627791041844</c:v>
                </c:pt>
                <c:pt idx="252">
                  <c:v>223.65950227751628</c:v>
                </c:pt>
                <c:pt idx="253">
                  <c:v>225.36816597018955</c:v>
                </c:pt>
                <c:pt idx="254">
                  <c:v>227.08224890815805</c:v>
                </c:pt>
                <c:pt idx="255">
                  <c:v>228.80173099621453</c:v>
                </c:pt>
                <c:pt idx="256">
                  <c:v>230.52659212443558</c:v>
                </c:pt>
                <c:pt idx="257">
                  <c:v>232.25681216839226</c:v>
                </c:pt>
                <c:pt idx="258">
                  <c:v>233.99237098936038</c:v>
                </c:pt>
                <c:pt idx="259">
                  <c:v>235.73324843453059</c:v>
                </c:pt>
                <c:pt idx="260">
                  <c:v>237.47942433721792</c:v>
                </c:pt>
                <c:pt idx="261">
                  <c:v>239.23087851707126</c:v>
                </c:pt>
                <c:pt idx="262">
                  <c:v>240.98759078028229</c:v>
                </c:pt>
                <c:pt idx="263">
                  <c:v>242.74954091979419</c:v>
                </c:pt>
                <c:pt idx="264">
                  <c:v>244.51670871550996</c:v>
                </c:pt>
                <c:pt idx="265">
                  <c:v>246.28907393450035</c:v>
                </c:pt>
                <c:pt idx="266">
                  <c:v>248.06661633121146</c:v>
                </c:pt>
                <c:pt idx="267">
                  <c:v>249.849315647672</c:v>
                </c:pt>
                <c:pt idx="268">
                  <c:v>251.63715161370007</c:v>
                </c:pt>
                <c:pt idx="269">
                  <c:v>253.43010394710961</c:v>
                </c:pt>
                <c:pt idx="270">
                  <c:v>255.22815235391644</c:v>
                </c:pt>
                <c:pt idx="271">
                  <c:v>257.03127652854391</c:v>
                </c:pt>
                <c:pt idx="272">
                  <c:v>258.83945615402814</c:v>
                </c:pt>
                <c:pt idx="273">
                  <c:v>260.65267090222278</c:v>
                </c:pt>
                <c:pt idx="274">
                  <c:v>262.4709004340034</c:v>
                </c:pt>
                <c:pt idx="275">
                  <c:v>264.29412439947146</c:v>
                </c:pt>
                <c:pt idx="276">
                  <c:v>266.12232243815777</c:v>
                </c:pt>
                <c:pt idx="277">
                  <c:v>267.95547417922546</c:v>
                </c:pt>
                <c:pt idx="278">
                  <c:v>269.79355924167282</c:v>
                </c:pt>
                <c:pt idx="279">
                  <c:v>271.63655723453513</c:v>
                </c:pt>
                <c:pt idx="280">
                  <c:v>273.48444775708651</c:v>
                </c:pt>
                <c:pt idx="281">
                  <c:v>275.337210399041</c:v>
                </c:pt>
                <c:pt idx="282">
                  <c:v>277.1948247407534</c:v>
                </c:pt>
                <c:pt idx="283">
                  <c:v>279.05727035341931</c:v>
                </c:pt>
                <c:pt idx="284">
                  <c:v>280.92452834216084</c:v>
                </c:pt>
                <c:pt idx="285">
                  <c:v>282.79658288957563</c:v>
                </c:pt>
                <c:pt idx="286">
                  <c:v>284.67341971298526</c:v>
                </c:pt>
                <c:pt idx="287">
                  <c:v>286.55502452118424</c:v>
                </c:pt>
                <c:pt idx="288">
                  <c:v>288.44138301456792</c:v>
                </c:pt>
                <c:pt idx="289">
                  <c:v>290.33248088525988</c:v>
                </c:pt>
                <c:pt idx="290">
                  <c:v>292.22830381723946</c:v>
                </c:pt>
                <c:pt idx="291">
                  <c:v>294.1288374864688</c:v>
                </c:pt>
                <c:pt idx="292">
                  <c:v>296.03406756101958</c:v>
                </c:pt>
                <c:pt idx="293">
                  <c:v>297.94397970119991</c:v>
                </c:pt>
                <c:pt idx="294">
                  <c:v>299.85855955968071</c:v>
                </c:pt>
                <c:pt idx="295">
                  <c:v>301.77779278162183</c:v>
                </c:pt>
                <c:pt idx="296">
                  <c:v>303.70166500479814</c:v>
                </c:pt>
                <c:pt idx="297">
                  <c:v>305.63016185972509</c:v>
                </c:pt>
                <c:pt idx="298">
                  <c:v>307.56326896978442</c:v>
                </c:pt>
                <c:pt idx="299">
                  <c:v>309.50097195134913</c:v>
                </c:pt>
                <c:pt idx="300">
                  <c:v>311.44325641390867</c:v>
                </c:pt>
                <c:pt idx="301">
                  <c:v>313.39010796019357</c:v>
                </c:pt>
                <c:pt idx="302">
                  <c:v>315.34151218629989</c:v>
                </c:pt>
                <c:pt idx="303">
                  <c:v>317.29745468181352</c:v>
                </c:pt>
                <c:pt idx="304">
                  <c:v>319.25792102993404</c:v>
                </c:pt>
                <c:pt idx="305">
                  <c:v>321.22289680759832</c:v>
                </c:pt>
                <c:pt idx="306">
                  <c:v>323.19236758560413</c:v>
                </c:pt>
                <c:pt idx="307">
                  <c:v>325.16631892873306</c:v>
                </c:pt>
                <c:pt idx="308">
                  <c:v>327.14473639587351</c:v>
                </c:pt>
                <c:pt idx="309">
                  <c:v>329.12760554014312</c:v>
                </c:pt>
                <c:pt idx="310">
                  <c:v>331.1149119090112</c:v>
                </c:pt>
                <c:pt idx="311">
                  <c:v>333.1066410444206</c:v>
                </c:pt>
                <c:pt idx="312">
                  <c:v>335.10277848290946</c:v>
                </c:pt>
                <c:pt idx="313">
                  <c:v>337.1033097557326</c:v>
                </c:pt>
                <c:pt idx="314">
                  <c:v>339.10822038898272</c:v>
                </c:pt>
                <c:pt idx="315">
                  <c:v>341.11749590371107</c:v>
                </c:pt>
                <c:pt idx="316">
                  <c:v>343.13112181604811</c:v>
                </c:pt>
                <c:pt idx="317">
                  <c:v>345.1490836373236</c:v>
                </c:pt>
                <c:pt idx="318">
                  <c:v>347.17136687418656</c:v>
                </c:pt>
                <c:pt idx="319">
                  <c:v>349.19795702872483</c:v>
                </c:pt>
                <c:pt idx="320">
                  <c:v>351.22883959858433</c:v>
                </c:pt>
                <c:pt idx="321">
                  <c:v>353.26400007708804</c:v>
                </c:pt>
                <c:pt idx="322">
                  <c:v>355.30342395335464</c:v>
                </c:pt>
                <c:pt idx="323">
                  <c:v>357.34709671241683</c:v>
                </c:pt>
                <c:pt idx="324">
                  <c:v>359.39500383533931</c:v>
                </c:pt>
                <c:pt idx="325">
                  <c:v>361.44713079933638</c:v>
                </c:pt>
                <c:pt idx="326">
                  <c:v>363.50346317260096</c:v>
                </c:pt>
                <c:pt idx="327">
                  <c:v>365.56398670914376</c:v>
                </c:pt>
                <c:pt idx="328">
                  <c:v>367.62868725416229</c:v>
                </c:pt>
                <c:pt idx="329">
                  <c:v>369.69755064939744</c:v>
                </c:pt>
                <c:pt idx="330">
                  <c:v>371.77056273324575</c:v>
                </c:pt>
                <c:pt idx="331">
                  <c:v>373.84770934087157</c:v>
                </c:pt>
                <c:pt idx="332">
                  <c:v>375.92897630431889</c:v>
                </c:pt>
                <c:pt idx="333">
                  <c:v>378.01434945262264</c:v>
                </c:pt>
                <c:pt idx="334">
                  <c:v>380.10381461191986</c:v>
                </c:pt>
                <c:pt idx="335">
                  <c:v>382.1973576055604</c:v>
                </c:pt>
                <c:pt idx="336">
                  <c:v>384.29496425421752</c:v>
                </c:pt>
                <c:pt idx="337">
                  <c:v>386.39662037599777</c:v>
                </c:pt>
                <c:pt idx="338">
                  <c:v>388.50231178655082</c:v>
                </c:pt>
                <c:pt idx="339">
                  <c:v>390.61202429917893</c:v>
                </c:pt>
                <c:pt idx="340">
                  <c:v>392.72574372494597</c:v>
                </c:pt>
                <c:pt idx="341">
                  <c:v>394.84345587278608</c:v>
                </c:pt>
                <c:pt idx="342">
                  <c:v>396.96514654961214</c:v>
                </c:pt>
                <c:pt idx="343">
                  <c:v>399.09080156042364</c:v>
                </c:pt>
                <c:pt idx="344">
                  <c:v>401.22040670841454</c:v>
                </c:pt>
                <c:pt idx="345">
                  <c:v>403.35394779508039</c:v>
                </c:pt>
                <c:pt idx="346">
                  <c:v>405.49141062032538</c:v>
                </c:pt>
                <c:pt idx="347">
                  <c:v>407.63278098256893</c:v>
                </c:pt>
                <c:pt idx="348">
                  <c:v>409.77804467885187</c:v>
                </c:pt>
                <c:pt idx="349">
                  <c:v>411.92718750494231</c:v>
                </c:pt>
                <c:pt idx="350">
                  <c:v>414.0801952554412</c:v>
                </c:pt>
                <c:pt idx="351">
                  <c:v>416.23705372388736</c:v>
                </c:pt>
                <c:pt idx="352">
                  <c:v>418.39774870286237</c:v>
                </c:pt>
                <c:pt idx="353">
                  <c:v>420.56226598409489</c:v>
                </c:pt>
                <c:pt idx="354">
                  <c:v>422.73059135856465</c:v>
                </c:pt>
                <c:pt idx="355">
                  <c:v>424.90271061660616</c:v>
                </c:pt>
                <c:pt idx="356">
                  <c:v>427.07860954801197</c:v>
                </c:pt>
                <c:pt idx="357">
                  <c:v>429.25827394213553</c:v>
                </c:pt>
                <c:pt idx="358">
                  <c:v>431.44168958799366</c:v>
                </c:pt>
                <c:pt idx="359">
                  <c:v>433.62884227436888</c:v>
                </c:pt>
                <c:pt idx="360">
                  <c:v>435.8197177899109</c:v>
                </c:pt>
                <c:pt idx="361">
                  <c:v>438.01430192323818</c:v>
                </c:pt>
                <c:pt idx="362">
                  <c:v>440.21258046303882</c:v>
                </c:pt>
                <c:pt idx="363">
                  <c:v>442.41453919817116</c:v>
                </c:pt>
                <c:pt idx="364">
                  <c:v>444.62016391776393</c:v>
                </c:pt>
                <c:pt idx="365">
                  <c:v>446.82944041131623</c:v>
                </c:pt>
                <c:pt idx="366">
                  <c:v>449.04235686801997</c:v>
                </c:pt>
                <c:pt idx="367">
                  <c:v>451.25890627594663</c:v>
                </c:pt>
                <c:pt idx="368">
                  <c:v>453.4790840213027</c:v>
                </c:pt>
                <c:pt idx="369">
                  <c:v>455.70288548778672</c:v>
                </c:pt>
                <c:pt idx="370">
                  <c:v>457.93030605662022</c:v>
                </c:pt>
                <c:pt idx="371">
                  <c:v>460.1613411065785</c:v>
                </c:pt>
                <c:pt idx="372">
                  <c:v>462.3959860140215</c:v>
                </c:pt>
                <c:pt idx="373">
                  <c:v>464.63423615292464</c:v>
                </c:pt>
                <c:pt idx="374">
                  <c:v>466.87608689490946</c:v>
                </c:pt>
                <c:pt idx="375">
                  <c:v>469.12153360927442</c:v>
                </c:pt>
                <c:pt idx="376">
                  <c:v>471.37057166302554</c:v>
                </c:pt>
                <c:pt idx="377">
                  <c:v>473.62319642090694</c:v>
                </c:pt>
                <c:pt idx="378">
                  <c:v>475.8794032454316</c:v>
                </c:pt>
                <c:pt idx="379">
                  <c:v>478.13918749691175</c:v>
                </c:pt>
                <c:pt idx="380">
                  <c:v>480.40254453348945</c:v>
                </c:pt>
                <c:pt idx="381">
                  <c:v>482.66946712239582</c:v>
                </c:pt>
                <c:pt idx="382">
                  <c:v>484.93994285144049</c:v>
                </c:pt>
                <c:pt idx="383">
                  <c:v>487.21395671973005</c:v>
                </c:pt>
                <c:pt idx="384">
                  <c:v>489.49149372819176</c:v>
                </c:pt>
                <c:pt idx="385">
                  <c:v>491.77253887967589</c:v>
                </c:pt>
                <c:pt idx="386">
                  <c:v>494.05707717905739</c:v>
                </c:pt>
                <c:pt idx="387">
                  <c:v>496.34509363333717</c:v>
                </c:pt>
                <c:pt idx="388">
                  <c:v>498.63657325174296</c:v>
                </c:pt>
                <c:pt idx="389">
                  <c:v>500.93150104582969</c:v>
                </c:pt>
                <c:pt idx="390">
                  <c:v>503.22986202957929</c:v>
                </c:pt>
                <c:pt idx="391">
                  <c:v>505.53164121950022</c:v>
                </c:pt>
                <c:pt idx="392">
                  <c:v>507.83682363472639</c:v>
                </c:pt>
                <c:pt idx="393">
                  <c:v>510.14539429711579</c:v>
                </c:pt>
                <c:pt idx="394">
                  <c:v>512.45733823134844</c:v>
                </c:pt>
                <c:pt idx="395">
                  <c:v>514.77264046502398</c:v>
                </c:pt>
                <c:pt idx="396">
                  <c:v>517.09128602875876</c:v>
                </c:pt>
                <c:pt idx="397">
                  <c:v>519.41325995628256</c:v>
                </c:pt>
                <c:pt idx="398">
                  <c:v>521.73854728453477</c:v>
                </c:pt>
                <c:pt idx="399">
                  <c:v>524.06713305376013</c:v>
                </c:pt>
                <c:pt idx="400">
                  <c:v>526.39900230760372</c:v>
                </c:pt>
                <c:pt idx="401">
                  <c:v>528.73413806211443</c:v>
                </c:pt>
                <c:pt idx="402">
                  <c:v>531.07251927510788</c:v>
                </c:pt>
                <c:pt idx="403">
                  <c:v>533.4141228791741</c:v>
                </c:pt>
                <c:pt idx="404">
                  <c:v>535.75892581436199</c:v>
                </c:pt>
                <c:pt idx="405">
                  <c:v>538.10690502834689</c:v>
                </c:pt>
                <c:pt idx="406">
                  <c:v>540.45803747659727</c:v>
                </c:pt>
                <c:pt idx="407">
                  <c:v>542.81230012254025</c:v>
                </c:pt>
                <c:pt idx="408">
                  <c:v>545.16966993772633</c:v>
                </c:pt>
                <c:pt idx="409">
                  <c:v>547.53012390199262</c:v>
                </c:pt>
                <c:pt idx="410">
                  <c:v>549.89363900362548</c:v>
                </c:pt>
                <c:pt idx="411">
                  <c:v>552.26018103198612</c:v>
                </c:pt>
                <c:pt idx="412">
                  <c:v>554.62969337290951</c:v>
                </c:pt>
                <c:pt idx="413">
                  <c:v>557.00210822786096</c:v>
                </c:pt>
                <c:pt idx="414">
                  <c:v>559.37735783069593</c:v>
                </c:pt>
                <c:pt idx="415">
                  <c:v>561.75537444857139</c:v>
                </c:pt>
                <c:pt idx="416">
                  <c:v>564.13609038284937</c:v>
                </c:pt>
                <c:pt idx="417">
                  <c:v>566.51943796999171</c:v>
                </c:pt>
                <c:pt idx="418">
                  <c:v>568.90534958244734</c:v>
                </c:pt>
                <c:pt idx="419">
                  <c:v>571.29375762953032</c:v>
                </c:pt>
                <c:pt idx="420">
                  <c:v>573.6845881906446</c:v>
                </c:pt>
                <c:pt idx="421">
                  <c:v>576.07775465102941</c:v>
                </c:pt>
                <c:pt idx="422">
                  <c:v>578.47316407833478</c:v>
                </c:pt>
                <c:pt idx="423">
                  <c:v>580.87072359699778</c:v>
                </c:pt>
                <c:pt idx="424">
                  <c:v>583.27034038975228</c:v>
                </c:pt>
                <c:pt idx="425">
                  <c:v>585.67192169912312</c:v>
                </c:pt>
                <c:pt idx="426">
                  <c:v>588.0753748289053</c:v>
                </c:pt>
                <c:pt idx="427">
                  <c:v>590.48060714562678</c:v>
                </c:pt>
                <c:pt idx="428">
                  <c:v>592.88752607999595</c:v>
                </c:pt>
                <c:pt idx="429">
                  <c:v>595.29603912833375</c:v>
                </c:pt>
                <c:pt idx="430">
                  <c:v>597.70605385398972</c:v>
                </c:pt>
                <c:pt idx="431">
                  <c:v>600.11747788874231</c:v>
                </c:pt>
                <c:pt idx="432">
                  <c:v>602.53020868867725</c:v>
                </c:pt>
                <c:pt idx="433">
                  <c:v>604.94412329669422</c:v>
                </c:pt>
                <c:pt idx="434">
                  <c:v>607.35908860640905</c:v>
                </c:pt>
                <c:pt idx="435">
                  <c:v>609.77497162010548</c:v>
                </c:pt>
                <c:pt idx="436">
                  <c:v>612.19163945146909</c:v>
                </c:pt>
                <c:pt idx="437">
                  <c:v>614.60895932828953</c:v>
                </c:pt>
                <c:pt idx="438">
                  <c:v>617.02679859512921</c:v>
                </c:pt>
                <c:pt idx="439">
                  <c:v>619.44502471595956</c:v>
                </c:pt>
                <c:pt idx="440">
                  <c:v>621.86350527676416</c:v>
                </c:pt>
                <c:pt idx="441">
                  <c:v>624.28210798810926</c:v>
                </c:pt>
                <c:pt idx="442">
                  <c:v>626.70070690358762</c:v>
                </c:pt>
                <c:pt idx="443">
                  <c:v>629.11918863246638</c:v>
                </c:pt>
                <c:pt idx="444">
                  <c:v>631.53744611330728</c:v>
                </c:pt>
                <c:pt idx="445">
                  <c:v>633.95537239288728</c:v>
                </c:pt>
                <c:pt idx="446">
                  <c:v>636.37286062774899</c:v>
                </c:pt>
                <c:pt idx="447">
                  <c:v>638.78980408572988</c:v>
                </c:pt>
                <c:pt idx="448">
                  <c:v>641.20609614746934</c:v>
                </c:pt>
                <c:pt idx="449">
                  <c:v>643.62163030789486</c:v>
                </c:pt>
                <c:pt idx="450">
                  <c:v>646.03630017768614</c:v>
                </c:pt>
                <c:pt idx="451">
                  <c:v>648.44999948471843</c:v>
                </c:pt>
                <c:pt idx="452">
                  <c:v>650.86262207548396</c:v>
                </c:pt>
                <c:pt idx="453">
                  <c:v>653.27407080936712</c:v>
                </c:pt>
                <c:pt idx="454">
                  <c:v>655.68426644265503</c:v>
                </c:pt>
                <c:pt idx="455">
                  <c:v>658.09313871567701</c:v>
                </c:pt>
                <c:pt idx="456">
                  <c:v>660.50061744975415</c:v>
                </c:pt>
                <c:pt idx="457">
                  <c:v>662.90663254769652</c:v>
                </c:pt>
                <c:pt idx="458">
                  <c:v>665.31111399429153</c:v>
                </c:pt>
                <c:pt idx="459">
                  <c:v>667.71399185678308</c:v>
                </c:pt>
                <c:pt idx="460">
                  <c:v>670.11519628534199</c:v>
                </c:pt>
                <c:pt idx="461">
                  <c:v>672.51466551240173</c:v>
                </c:pt>
                <c:pt idx="462">
                  <c:v>674.9123538420082</c:v>
                </c:pt>
                <c:pt idx="463">
                  <c:v>677.30822363121274</c:v>
                </c:pt>
                <c:pt idx="464">
                  <c:v>679.70223728124336</c:v>
                </c:pt>
                <c:pt idx="465">
                  <c:v>682.09435723755632</c:v>
                </c:pt>
                <c:pt idx="466">
                  <c:v>684.48453927189655</c:v>
                </c:pt>
                <c:pt idx="467">
                  <c:v>686.87272577296505</c:v>
                </c:pt>
                <c:pt idx="468">
                  <c:v>689.25877767495854</c:v>
                </c:pt>
                <c:pt idx="469">
                  <c:v>691.6424980206607</c:v>
                </c:pt>
                <c:pt idx="470">
                  <c:v>694.02379838489708</c:v>
                </c:pt>
                <c:pt idx="471">
                  <c:v>696.4026819943565</c:v>
                </c:pt>
                <c:pt idx="472">
                  <c:v>698.77915206715682</c:v>
                </c:pt>
                <c:pt idx="473">
                  <c:v>701.15321181287482</c:v>
                </c:pt>
                <c:pt idx="474">
                  <c:v>703.52486443257601</c:v>
                </c:pt>
                <c:pt idx="475">
                  <c:v>705.89411311884464</c:v>
                </c:pt>
                <c:pt idx="476">
                  <c:v>708.26096105581303</c:v>
                </c:pt>
                <c:pt idx="477">
                  <c:v>710.62541141919132</c:v>
                </c:pt>
                <c:pt idx="478">
                  <c:v>712.98746737629676</c:v>
                </c:pt>
                <c:pt idx="479">
                  <c:v>715.34713208608298</c:v>
                </c:pt>
                <c:pt idx="480">
                  <c:v>717.70440869916888</c:v>
                </c:pt>
                <c:pt idx="481">
                  <c:v>720.05930035786787</c:v>
                </c:pt>
                <c:pt idx="482">
                  <c:v>722.41181019621661</c:v>
                </c:pt>
                <c:pt idx="483">
                  <c:v>724.76194134000377</c:v>
                </c:pt>
                <c:pt idx="484">
                  <c:v>727.10969690679872</c:v>
                </c:pt>
                <c:pt idx="485">
                  <c:v>729.45508000597977</c:v>
                </c:pt>
                <c:pt idx="486">
                  <c:v>731.79809373876265</c:v>
                </c:pt>
                <c:pt idx="487">
                  <c:v>734.13874119822879</c:v>
                </c:pt>
                <c:pt idx="488">
                  <c:v>736.47702546935329</c:v>
                </c:pt>
                <c:pt idx="489">
                  <c:v>738.81294962903314</c:v>
                </c:pt>
                <c:pt idx="490">
                  <c:v>741.14651674611468</c:v>
                </c:pt>
                <c:pt idx="491">
                  <c:v>743.47772988142162</c:v>
                </c:pt>
                <c:pt idx="492">
                  <c:v>745.80659208778275</c:v>
                </c:pt>
                <c:pt idx="493">
                  <c:v>748.1331064100591</c:v>
                </c:pt>
                <c:pt idx="494">
                  <c:v>750.4572758851715</c:v>
                </c:pt>
                <c:pt idx="495">
                  <c:v>752.77910354212781</c:v>
                </c:pt>
                <c:pt idx="496">
                  <c:v>755.09859240205014</c:v>
                </c:pt>
                <c:pt idx="497">
                  <c:v>757.41574547820176</c:v>
                </c:pt>
                <c:pt idx="498">
                  <c:v>759.73056577601392</c:v>
                </c:pt>
                <c:pt idx="499">
                  <c:v>762.04305629311273</c:v>
                </c:pt>
                <c:pt idx="500">
                  <c:v>764.35322001934594</c:v>
                </c:pt>
                <c:pt idx="501">
                  <c:v>787.32711480942896</c:v>
                </c:pt>
                <c:pt idx="502">
                  <c:v>810.07025332253977</c:v>
                </c:pt>
                <c:pt idx="503">
                  <c:v>832.58554919016797</c:v>
                </c:pt>
                <c:pt idx="504">
                  <c:v>854.87584181271234</c:v>
                </c:pt>
                <c:pt idx="505">
                  <c:v>876.94389882779831</c:v>
                </c:pt>
                <c:pt idx="506">
                  <c:v>898.79241847506535</c:v>
                </c:pt>
                <c:pt idx="507">
                  <c:v>920.42403186262084</c:v>
                </c:pt>
                <c:pt idx="508">
                  <c:v>941.84130514005267</c:v>
                </c:pt>
                <c:pt idx="509">
                  <c:v>963.04674158261003</c:v>
                </c:pt>
                <c:pt idx="510">
                  <c:v>984.04278359089744</c:v>
                </c:pt>
                <c:pt idx="511">
                  <c:v>1004.8318146101795</c:v>
                </c:pt>
                <c:pt idx="512">
                  <c:v>1025.416160973163</c:v>
                </c:pt>
                <c:pt idx="513">
                  <c:v>1045.7980936699046</c:v>
                </c:pt>
                <c:pt idx="514">
                  <c:v>1065.9798300482948</c:v>
                </c:pt>
                <c:pt idx="515">
                  <c:v>1085.9635354483714</c:v>
                </c:pt>
                <c:pt idx="516">
                  <c:v>1105.7513247735446</c:v>
                </c:pt>
                <c:pt idx="517">
                  <c:v>1125.345264001646</c:v>
                </c:pt>
                <c:pt idx="518">
                  <c:v>1144.7473716385559</c:v>
                </c:pt>
                <c:pt idx="519">
                  <c:v>1163.95962011702</c:v>
                </c:pt>
                <c:pt idx="520">
                  <c:v>1182.9839371431249</c:v>
                </c:pt>
                <c:pt idx="521">
                  <c:v>1201.8222069927738</c:v>
                </c:pt>
                <c:pt idx="522">
                  <c:v>1220.4762717603826</c:v>
                </c:pt>
                <c:pt idx="523">
                  <c:v>1238.9479325618991</c:v>
                </c:pt>
                <c:pt idx="524">
                  <c:v>1257.2389506941429</c:v>
                </c:pt>
                <c:pt idx="525">
                  <c:v>1275.3510487523606</c:v>
                </c:pt>
                <c:pt idx="526">
                  <c:v>1293.2859117077942</c:v>
                </c:pt>
                <c:pt idx="527">
                  <c:v>1311.0451879469729</c:v>
                </c:pt>
                <c:pt idx="528">
                  <c:v>1328.6304902743507</c:v>
                </c:pt>
                <c:pt idx="529">
                  <c:v>1346.0433968798325</c:v>
                </c:pt>
                <c:pt idx="530">
                  <c:v>1363.2854522726584</c:v>
                </c:pt>
                <c:pt idx="531">
                  <c:v>1380.3581681830399</c:v>
                </c:pt>
                <c:pt idx="532">
                  <c:v>1397.2630244328768</c:v>
                </c:pt>
                <c:pt idx="533">
                  <c:v>1414.0014697768204</c:v>
                </c:pt>
                <c:pt idx="534">
                  <c:v>1430.574922714886</c:v>
                </c:pt>
                <c:pt idx="535">
                  <c:v>1446.9847722777629</c:v>
                </c:pt>
                <c:pt idx="536">
                  <c:v>1463.2323787859132</c:v>
                </c:pt>
                <c:pt idx="537">
                  <c:v>1479.319074583505</c:v>
                </c:pt>
                <c:pt idx="538">
                  <c:v>1495.2461647481691</c:v>
                </c:pt>
                <c:pt idx="539">
                  <c:v>1511.0149277775311</c:v>
                </c:pt>
                <c:pt idx="540">
                  <c:v>1526.6266162534209</c:v>
                </c:pt>
                <c:pt idx="541">
                  <c:v>1542.0824574846247</c:v>
                </c:pt>
                <c:pt idx="542">
                  <c:v>1557.3836541290025</c:v>
                </c:pt>
                <c:pt idx="543">
                  <c:v>1572.5313847957589</c:v>
                </c:pt>
                <c:pt idx="544">
                  <c:v>1587.5268046286199</c:v>
                </c:pt>
                <c:pt idx="545">
                  <c:v>1602.3710458706346</c:v>
                </c:pt>
                <c:pt idx="546">
                  <c:v>1617.0652184112885</c:v>
                </c:pt>
                <c:pt idx="547">
                  <c:v>1631.610410316586</c:v>
                </c:pt>
                <c:pt idx="548">
                  <c:v>1646.0076883427314</c:v>
                </c:pt>
                <c:pt idx="549">
                  <c:v>1660.2580984340093</c:v>
                </c:pt>
                <c:pt idx="550">
                  <c:v>1674.3626662054403</c:v>
                </c:pt>
                <c:pt idx="551">
                  <c:v>1688.3223974107632</c:v>
                </c:pt>
                <c:pt idx="552">
                  <c:v>1702.1382783962722</c:v>
                </c:pt>
                <c:pt idx="553">
                  <c:v>1715.8112765410146</c:v>
                </c:pt>
                <c:pt idx="554">
                  <c:v>1729.3423406838331</c:v>
                </c:pt>
                <c:pt idx="555">
                  <c:v>1742.7324015377169</c:v>
                </c:pt>
                <c:pt idx="556">
                  <c:v>1755.9823720919085</c:v>
                </c:pt>
                <c:pt idx="557">
                  <c:v>1769.0931480021916</c:v>
                </c:pt>
                <c:pt idx="558">
                  <c:v>1782.0656079697703</c:v>
                </c:pt>
                <c:pt idx="559">
                  <c:v>1794.900614109132</c:v>
                </c:pt>
                <c:pt idx="560">
                  <c:v>1807.599012305272</c:v>
                </c:pt>
                <c:pt idx="561">
                  <c:v>1820.1616325606419</c:v>
                </c:pt>
                <c:pt idx="562">
                  <c:v>1832.5892893321686</c:v>
                </c:pt>
                <c:pt idx="563">
                  <c:v>1844.8827818586778</c:v>
                </c:pt>
                <c:pt idx="564">
                  <c:v>1857.0428944790444</c:v>
                </c:pt>
                <c:pt idx="565">
                  <c:v>1869.0703969413755</c:v>
                </c:pt>
                <c:pt idx="566">
                  <c:v>1880.9660447035249</c:v>
                </c:pt>
                <c:pt idx="567">
                  <c:v>1892.7305792252218</c:v>
                </c:pt>
                <c:pt idx="568">
                  <c:v>1904.3647282520901</c:v>
                </c:pt>
                <c:pt idx="569">
                  <c:v>1915.8692060918186</c:v>
                </c:pt>
                <c:pt idx="570">
                  <c:v>1927.2447138827386</c:v>
                </c:pt>
                <c:pt idx="571">
                  <c:v>1938.491939855051</c:v>
                </c:pt>
                <c:pt idx="572">
                  <c:v>1949.6115595849396</c:v>
                </c:pt>
                <c:pt idx="573">
                  <c:v>1960.604236241795</c:v>
                </c:pt>
                <c:pt idx="574">
                  <c:v>1971.4706208287676</c:v>
                </c:pt>
                <c:pt idx="575">
                  <c:v>1982.2113524168608</c:v>
                </c:pt>
                <c:pt idx="576">
                  <c:v>1992.8270583727649</c:v>
                </c:pt>
                <c:pt idx="577">
                  <c:v>2003.3183545806271</c:v>
                </c:pt>
                <c:pt idx="578">
                  <c:v>2013.6858456579469</c:v>
                </c:pt>
                <c:pt idx="579">
                  <c:v>2023.9301251657766</c:v>
                </c:pt>
                <c:pt idx="580">
                  <c:v>2034.0517758134029</c:v>
                </c:pt>
                <c:pt idx="581">
                  <c:v>2044.0513696576772</c:v>
                </c:pt>
                <c:pt idx="582">
                  <c:v>2053.9294682971604</c:v>
                </c:pt>
                <c:pt idx="583">
                  <c:v>2063.6866230612354</c:v>
                </c:pt>
                <c:pt idx="584">
                  <c:v>2073.3233751943421</c:v>
                </c:pt>
                <c:pt idx="585">
                  <c:v>2082.8402560354821</c:v>
                </c:pt>
                <c:pt idx="586">
                  <c:v>2092.237787193133</c:v>
                </c:pt>
                <c:pt idx="587">
                  <c:v>2101.5164807157125</c:v>
                </c:pt>
                <c:pt idx="588">
                  <c:v>2110.6768392577214</c:v>
                </c:pt>
                <c:pt idx="589">
                  <c:v>2119.7193562416974</c:v>
                </c:pt>
                <c:pt idx="590">
                  <c:v>2128.6445160161015</c:v>
                </c:pt>
                <c:pt idx="591">
                  <c:v>2137.4527940092617</c:v>
                </c:pt>
                <c:pt idx="592">
                  <c:v>2146.1446568794845</c:v>
                </c:pt>
                <c:pt idx="593">
                  <c:v>2154.7205626614541</c:v>
                </c:pt>
                <c:pt idx="594">
                  <c:v>2163.1809609090233</c:v>
                </c:pt>
                <c:pt idx="595">
                  <c:v>2171.5262928345091</c:v>
                </c:pt>
                <c:pt idx="596">
                  <c:v>2179.7569914445894</c:v>
                </c:pt>
                <c:pt idx="597">
                  <c:v>2187.8734816729075</c:v>
                </c:pt>
                <c:pt idx="598">
                  <c:v>2195.87618050948</c:v>
                </c:pt>
                <c:pt idx="599">
                  <c:v>2203.7654971270031</c:v>
                </c:pt>
                <c:pt idx="600">
                  <c:v>2211.5418330041498</c:v>
                </c:pt>
                <c:pt idx="601">
                  <c:v>2219.2055820459518</c:v>
                </c:pt>
                <c:pt idx="602">
                  <c:v>2226.7571307013504</c:v>
                </c:pt>
                <c:pt idx="603">
                  <c:v>2234.1968580780053</c:v>
                </c:pt>
                <c:pt idx="604">
                  <c:v>2241.5251360544435</c:v>
                </c:pt>
                <c:pt idx="605">
                  <c:v>2248.7423293896354</c:v>
                </c:pt>
                <c:pt idx="606">
                  <c:v>2255.8487958300743</c:v>
                </c:pt>
                <c:pt idx="607">
                  <c:v>2262.8448862144419</c:v>
                </c:pt>
                <c:pt idx="608">
                  <c:v>2269.730944575937</c:v>
                </c:pt>
                <c:pt idx="609">
                  <c:v>2276.5073082423442</c:v>
                </c:pt>
                <c:pt idx="610">
                  <c:v>2283.1743079339212</c:v>
                </c:pt>
                <c:pt idx="611">
                  <c:v>2289.732267859175</c:v>
                </c:pt>
                <c:pt idx="612">
                  <c:v>2296.1815058086063</c:v>
                </c:pt>
                <c:pt idx="613">
                  <c:v>2302.5223332464934</c:v>
                </c:pt>
                <c:pt idx="614">
                  <c:v>2308.7550554007885</c:v>
                </c:pt>
                <c:pt idx="615">
                  <c:v>2314.8799713512012</c:v>
                </c:pt>
                <c:pt idx="616">
                  <c:v>2320.8973741155405</c:v>
                </c:pt>
                <c:pt idx="617">
                  <c:v>2326.8075507343874</c:v>
                </c:pt>
                <c:pt idx="618">
                  <c:v>2332.6107823541747</c:v>
                </c:pt>
                <c:pt idx="619">
                  <c:v>2338.3073443087433</c:v>
                </c:pt>
                <c:pt idx="620">
                  <c:v>2343.897506199452</c:v>
                </c:pt>
                <c:pt idx="621">
                  <c:v>2349.3815319739124</c:v>
                </c:pt>
                <c:pt idx="622">
                  <c:v>2354.7596800034285</c:v>
                </c:pt>
                <c:pt idx="623">
                  <c:v>2360.0322031592145</c:v>
                </c:pt>
                <c:pt idx="624">
                  <c:v>2365.19934888747</c:v>
                </c:pt>
                <c:pt idx="625">
                  <c:v>2370.2613592833927</c:v>
                </c:pt>
                <c:pt idx="626">
                  <c:v>2375.2184711642089</c:v>
                </c:pt>
                <c:pt idx="627">
                  <c:v>2380.0709161413074</c:v>
                </c:pt>
                <c:pt idx="628">
                  <c:v>2384.8189206915604</c:v>
                </c:pt>
                <c:pt idx="629">
                  <c:v>2389.4627062279201</c:v>
                </c:pt>
                <c:pt idx="630">
                  <c:v>2394.0024891693834</c:v>
                </c:pt>
                <c:pt idx="631">
                  <c:v>2398.4384810104157</c:v>
                </c:pt>
                <c:pt idx="632">
                  <c:v>2402.7708883899354</c:v>
                </c:pt>
                <c:pt idx="633">
                  <c:v>2406.9999131599557</c:v>
                </c:pt>
                <c:pt idx="634">
                  <c:v>2411.1257524539892</c:v>
                </c:pt>
                <c:pt idx="635">
                  <c:v>2415.148598755326</c:v>
                </c:pt>
                <c:pt idx="636">
                  <c:v>2419.068639965295</c:v>
                </c:pt>
                <c:pt idx="637">
                  <c:v>2422.8860594716275</c:v>
                </c:pt>
                <c:pt idx="638">
                  <c:v>2426.6010362170427</c:v>
                </c:pt>
                <c:pt idx="639">
                  <c:v>2430.2137447681848</c:v>
                </c:pt>
                <c:pt idx="640">
                  <c:v>2433.7243553850403</c:v>
                </c:pt>
                <c:pt idx="641">
                  <c:v>2437.1330340909717</c:v>
                </c:pt>
                <c:pt idx="642">
                  <c:v>2440.4399427435119</c:v>
                </c:pt>
                <c:pt idx="643">
                  <c:v>2443.6452391060625</c:v>
                </c:pt>
                <c:pt idx="644">
                  <c:v>2446.7490769206502</c:v>
                </c:pt>
                <c:pt idx="645">
                  <c:v>2449.7516059818931</c:v>
                </c:pt>
                <c:pt idx="646">
                  <c:v>2452.6529722123423</c:v>
                </c:pt>
                <c:pt idx="647">
                  <c:v>2455.4533177393578</c:v>
                </c:pt>
                <c:pt idx="648">
                  <c:v>2458.152780973689</c:v>
                </c:pt>
                <c:pt idx="649">
                  <c:v>2460.7514966899312</c:v>
                </c:pt>
                <c:pt idx="650">
                  <c:v>2463.2495961090235</c:v>
                </c:pt>
                <c:pt idx="651">
                  <c:v>2465.647206982967</c:v>
                </c:pt>
                <c:pt idx="652">
                  <c:v>2467.9444536819292</c:v>
                </c:pt>
                <c:pt idx="653">
                  <c:v>2470.1414572839076</c:v>
                </c:pt>
                <c:pt idx="654">
                  <c:v>2472.2383356671121</c:v>
                </c:pt>
                <c:pt idx="655">
                  <c:v>2474.235203605228</c:v>
                </c:pt>
                <c:pt idx="656">
                  <c:v>2476.1321728657099</c:v>
                </c:pt>
                <c:pt idx="657">
                  <c:v>2477.929352311241</c:v>
                </c:pt>
                <c:pt idx="658">
                  <c:v>2479.6268480044873</c:v>
                </c:pt>
                <c:pt idx="659">
                  <c:v>2481.2247633162556</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AEC5-4DB4-900B-02E79FDE56EC}"/>
            </c:ext>
          </c:extLst>
        </c:ser>
        <c:ser>
          <c:idx val="6"/>
          <c:order val="6"/>
          <c:tx>
            <c:strRef>
              <c:f>Trajecto!$B$106</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Trajecto!$B$157</c:f>
              <c:numCache>
                <c:formatCode>General</c:formatCode>
                <c:ptCount val="1"/>
                <c:pt idx="0">
                  <c:v>5.25</c:v>
                </c:pt>
              </c:numCache>
            </c:numRef>
          </c:xVal>
          <c:yVal>
            <c:numRef>
              <c:f>Trajecto!$C$155</c:f>
              <c:numCache>
                <c:formatCode>0</c:formatCode>
                <c:ptCount val="1"/>
                <c:pt idx="0">
                  <c:v>1241.3615995185694</c:v>
                </c:pt>
              </c:numCache>
            </c:numRef>
          </c:yVal>
          <c:smooth val="0"/>
          <c:extLst>
            <c:ext xmlns:c16="http://schemas.microsoft.com/office/drawing/2014/chart" uri="{C3380CC4-5D6E-409C-BE32-E72D297353CC}">
              <c16:uniqueId val="{00000008-AEC5-4DB4-900B-02E79FDE56EC}"/>
            </c:ext>
          </c:extLst>
        </c:ser>
        <c:ser>
          <c:idx val="7"/>
          <c:order val="7"/>
          <c:tx>
            <c:strRef>
              <c:f>Trajecto!$B$107</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34.900000000000162</c:v>
                </c:pt>
              </c:numCache>
            </c:numRef>
          </c:xVal>
          <c:yVal>
            <c:numRef>
              <c:f>Trajecto!$C$156</c:f>
              <c:numCache>
                <c:formatCode>0</c:formatCode>
                <c:ptCount val="1"/>
                <c:pt idx="0">
                  <c:v>1246.6536483562641</c:v>
                </c:pt>
              </c:numCache>
            </c:numRef>
          </c:yVal>
          <c:smooth val="0"/>
          <c:extLst>
            <c:ext xmlns:c16="http://schemas.microsoft.com/office/drawing/2014/chart" uri="{C3380CC4-5D6E-409C-BE32-E72D297353CC}">
              <c16:uniqueId val="{00000009-AEC5-4DB4-900B-02E79FDE56EC}"/>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Trajecto!$B$112</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47.400100000000343</c:v>
                </c:pt>
                <c:pt idx="926">
                  <c:v>47.400200000000346</c:v>
                </c:pt>
                <c:pt idx="927">
                  <c:v>47.40030000000035</c:v>
                </c:pt>
                <c:pt idx="928">
                  <c:v>47.400400000000353</c:v>
                </c:pt>
                <c:pt idx="929">
                  <c:v>47.400500000000356</c:v>
                </c:pt>
                <c:pt idx="930">
                  <c:v>47.40060000000036</c:v>
                </c:pt>
                <c:pt idx="931">
                  <c:v>47.400700000000363</c:v>
                </c:pt>
                <c:pt idx="932">
                  <c:v>47.400800000000366</c:v>
                </c:pt>
                <c:pt idx="933">
                  <c:v>47.40090000000037</c:v>
                </c:pt>
                <c:pt idx="934">
                  <c:v>47.401000000000373</c:v>
                </c:pt>
                <c:pt idx="935">
                  <c:v>47.401100000000376</c:v>
                </c:pt>
                <c:pt idx="936">
                  <c:v>47.401200000000379</c:v>
                </c:pt>
                <c:pt idx="937">
                  <c:v>47.401300000000383</c:v>
                </c:pt>
                <c:pt idx="938">
                  <c:v>47.401400000000386</c:v>
                </c:pt>
                <c:pt idx="939">
                  <c:v>47.401500000000389</c:v>
                </c:pt>
                <c:pt idx="940">
                  <c:v>47.401600000000393</c:v>
                </c:pt>
                <c:pt idx="941">
                  <c:v>47.401700000000396</c:v>
                </c:pt>
                <c:pt idx="942">
                  <c:v>47.401800000000399</c:v>
                </c:pt>
                <c:pt idx="943">
                  <c:v>47.401900000000403</c:v>
                </c:pt>
                <c:pt idx="944">
                  <c:v>47.402000000000406</c:v>
                </c:pt>
                <c:pt idx="945">
                  <c:v>47.402100000000409</c:v>
                </c:pt>
                <c:pt idx="946">
                  <c:v>47.402200000000413</c:v>
                </c:pt>
                <c:pt idx="947">
                  <c:v>47.402300000000416</c:v>
                </c:pt>
                <c:pt idx="948">
                  <c:v>47.402400000000419</c:v>
                </c:pt>
                <c:pt idx="949">
                  <c:v>47.402500000000423</c:v>
                </c:pt>
                <c:pt idx="950">
                  <c:v>47.402600000000426</c:v>
                </c:pt>
                <c:pt idx="951">
                  <c:v>47.402700000000429</c:v>
                </c:pt>
                <c:pt idx="952">
                  <c:v>47.402800000000433</c:v>
                </c:pt>
                <c:pt idx="953">
                  <c:v>47.402900000000436</c:v>
                </c:pt>
                <c:pt idx="954">
                  <c:v>47.403000000000439</c:v>
                </c:pt>
                <c:pt idx="955">
                  <c:v>47.403100000000443</c:v>
                </c:pt>
                <c:pt idx="956">
                  <c:v>47.403200000000446</c:v>
                </c:pt>
                <c:pt idx="957">
                  <c:v>47.403300000000449</c:v>
                </c:pt>
                <c:pt idx="958">
                  <c:v>47.403400000000453</c:v>
                </c:pt>
                <c:pt idx="959">
                  <c:v>47.403500000000456</c:v>
                </c:pt>
                <c:pt idx="960">
                  <c:v>47.403600000000459</c:v>
                </c:pt>
                <c:pt idx="961">
                  <c:v>47.403700000000462</c:v>
                </c:pt>
                <c:pt idx="962">
                  <c:v>47.403800000000466</c:v>
                </c:pt>
                <c:pt idx="963">
                  <c:v>47.403900000000469</c:v>
                </c:pt>
                <c:pt idx="964">
                  <c:v>47.404000000000472</c:v>
                </c:pt>
                <c:pt idx="965">
                  <c:v>47.404100000000476</c:v>
                </c:pt>
                <c:pt idx="966">
                  <c:v>47.404200000000479</c:v>
                </c:pt>
                <c:pt idx="967">
                  <c:v>47.404300000000482</c:v>
                </c:pt>
                <c:pt idx="968">
                  <c:v>47.404400000000486</c:v>
                </c:pt>
                <c:pt idx="969">
                  <c:v>47.404500000000489</c:v>
                </c:pt>
                <c:pt idx="970">
                  <c:v>47.404600000000492</c:v>
                </c:pt>
                <c:pt idx="971">
                  <c:v>47.404700000000496</c:v>
                </c:pt>
                <c:pt idx="972">
                  <c:v>47.404800000000499</c:v>
                </c:pt>
                <c:pt idx="973">
                  <c:v>47.404900000000502</c:v>
                </c:pt>
                <c:pt idx="974">
                  <c:v>47.405000000000506</c:v>
                </c:pt>
                <c:pt idx="975">
                  <c:v>47.405100000000509</c:v>
                </c:pt>
                <c:pt idx="976">
                  <c:v>47.405200000000512</c:v>
                </c:pt>
                <c:pt idx="977">
                  <c:v>47.405300000000516</c:v>
                </c:pt>
                <c:pt idx="978">
                  <c:v>47.405400000000519</c:v>
                </c:pt>
                <c:pt idx="979">
                  <c:v>47.405500000000522</c:v>
                </c:pt>
                <c:pt idx="980">
                  <c:v>47.405600000000526</c:v>
                </c:pt>
                <c:pt idx="981">
                  <c:v>47.405700000000529</c:v>
                </c:pt>
                <c:pt idx="982">
                  <c:v>47.405800000000532</c:v>
                </c:pt>
                <c:pt idx="983">
                  <c:v>47.405900000000535</c:v>
                </c:pt>
                <c:pt idx="984">
                  <c:v>47.406000000000539</c:v>
                </c:pt>
                <c:pt idx="985">
                  <c:v>47.406100000000542</c:v>
                </c:pt>
                <c:pt idx="986">
                  <c:v>47.406200000000545</c:v>
                </c:pt>
                <c:pt idx="987">
                  <c:v>47.406300000000549</c:v>
                </c:pt>
                <c:pt idx="988">
                  <c:v>47.406400000000552</c:v>
                </c:pt>
                <c:pt idx="989">
                  <c:v>47.406500000000555</c:v>
                </c:pt>
                <c:pt idx="990">
                  <c:v>47.406600000000559</c:v>
                </c:pt>
                <c:pt idx="991">
                  <c:v>47.406700000000562</c:v>
                </c:pt>
                <c:pt idx="992">
                  <c:v>47.406800000000565</c:v>
                </c:pt>
                <c:pt idx="993">
                  <c:v>47.406900000000569</c:v>
                </c:pt>
                <c:pt idx="994">
                  <c:v>47.407000000000572</c:v>
                </c:pt>
                <c:pt idx="995">
                  <c:v>47.407100000000575</c:v>
                </c:pt>
                <c:pt idx="996">
                  <c:v>47.407200000000579</c:v>
                </c:pt>
                <c:pt idx="997">
                  <c:v>47.407300000000582</c:v>
                </c:pt>
                <c:pt idx="998">
                  <c:v>47.407400000000585</c:v>
                </c:pt>
                <c:pt idx="999">
                  <c:v>47.407500000000589</c:v>
                </c:pt>
                <c:pt idx="1000">
                  <c:v>47.407600000000592</c:v>
                </c:pt>
              </c:numCache>
            </c:numRef>
          </c:xVal>
          <c:yVal>
            <c:numRef>
              <c:f>Calculs!$Q$4:$Q$1004</c:f>
              <c:numCache>
                <c:formatCode>0.00</c:formatCode>
                <c:ptCount val="1001"/>
                <c:pt idx="0">
                  <c:v>0</c:v>
                </c:pt>
                <c:pt idx="1">
                  <c:v>214.70000000000002</c:v>
                </c:pt>
                <c:pt idx="2">
                  <c:v>451.48888888888888</c:v>
                </c:pt>
                <c:pt idx="3">
                  <c:v>549.66666666666663</c:v>
                </c:pt>
                <c:pt idx="4">
                  <c:v>647.84444444444443</c:v>
                </c:pt>
                <c:pt idx="5">
                  <c:v>746.02222222222224</c:v>
                </c:pt>
                <c:pt idx="6">
                  <c:v>844.2</c:v>
                </c:pt>
                <c:pt idx="7">
                  <c:v>942.37777777777774</c:v>
                </c:pt>
                <c:pt idx="8">
                  <c:v>1040.5555555555557</c:v>
                </c:pt>
                <c:pt idx="9">
                  <c:v>1138.7333333333331</c:v>
                </c:pt>
                <c:pt idx="10">
                  <c:v>1236.911111111111</c:v>
                </c:pt>
                <c:pt idx="11">
                  <c:v>1278.75</c:v>
                </c:pt>
                <c:pt idx="12">
                  <c:v>1264.25</c:v>
                </c:pt>
                <c:pt idx="13">
                  <c:v>1249.3214285714287</c:v>
                </c:pt>
                <c:pt idx="14">
                  <c:v>1233.9642857142858</c:v>
                </c:pt>
                <c:pt idx="15">
                  <c:v>1218.6071428571429</c:v>
                </c:pt>
                <c:pt idx="16">
                  <c:v>1203.25</c:v>
                </c:pt>
                <c:pt idx="17">
                  <c:v>1187.8928571428571</c:v>
                </c:pt>
                <c:pt idx="18">
                  <c:v>1172.5357142857142</c:v>
                </c:pt>
                <c:pt idx="19">
                  <c:v>1157.1785714285713</c:v>
                </c:pt>
                <c:pt idx="20">
                  <c:v>1141.8214285714284</c:v>
                </c:pt>
                <c:pt idx="21">
                  <c:v>1126.4642857142858</c:v>
                </c:pt>
                <c:pt idx="22">
                  <c:v>1111.1071428571427</c:v>
                </c:pt>
                <c:pt idx="23">
                  <c:v>1095.75</c:v>
                </c:pt>
                <c:pt idx="24">
                  <c:v>1080.3928571428571</c:v>
                </c:pt>
                <c:pt idx="25">
                  <c:v>1065.0357142857142</c:v>
                </c:pt>
                <c:pt idx="26">
                  <c:v>1049.6785714285713</c:v>
                </c:pt>
                <c:pt idx="27">
                  <c:v>1041.8333333333333</c:v>
                </c:pt>
                <c:pt idx="28">
                  <c:v>1041.5</c:v>
                </c:pt>
                <c:pt idx="29">
                  <c:v>1041.1666666666667</c:v>
                </c:pt>
                <c:pt idx="30">
                  <c:v>1040.8333333333333</c:v>
                </c:pt>
                <c:pt idx="31">
                  <c:v>1040.5</c:v>
                </c:pt>
                <c:pt idx="32">
                  <c:v>1040.1666666666667</c:v>
                </c:pt>
                <c:pt idx="33">
                  <c:v>1039.8333333333333</c:v>
                </c:pt>
                <c:pt idx="34">
                  <c:v>1039.5</c:v>
                </c:pt>
                <c:pt idx="35">
                  <c:v>1039.1666666666667</c:v>
                </c:pt>
                <c:pt idx="36">
                  <c:v>1038.8333333333333</c:v>
                </c:pt>
                <c:pt idx="37">
                  <c:v>1038.5</c:v>
                </c:pt>
                <c:pt idx="38">
                  <c:v>1038.1666666666667</c:v>
                </c:pt>
                <c:pt idx="39">
                  <c:v>1037.8333333333333</c:v>
                </c:pt>
                <c:pt idx="40">
                  <c:v>1037.5</c:v>
                </c:pt>
                <c:pt idx="41">
                  <c:v>1037.1666666666667</c:v>
                </c:pt>
                <c:pt idx="42">
                  <c:v>1036.8333333333333</c:v>
                </c:pt>
                <c:pt idx="43">
                  <c:v>1036.5</c:v>
                </c:pt>
                <c:pt idx="44">
                  <c:v>1036.1666666666667</c:v>
                </c:pt>
                <c:pt idx="45">
                  <c:v>1035.8333333333333</c:v>
                </c:pt>
                <c:pt idx="46">
                  <c:v>1035.5</c:v>
                </c:pt>
                <c:pt idx="47">
                  <c:v>1035.1666666666667</c:v>
                </c:pt>
                <c:pt idx="48">
                  <c:v>1034.8333333333333</c:v>
                </c:pt>
                <c:pt idx="49">
                  <c:v>1034.5</c:v>
                </c:pt>
                <c:pt idx="50">
                  <c:v>1034.1666666666667</c:v>
                </c:pt>
                <c:pt idx="51">
                  <c:v>1033.8333333333333</c:v>
                </c:pt>
                <c:pt idx="52">
                  <c:v>1033.5</c:v>
                </c:pt>
                <c:pt idx="53">
                  <c:v>1033.1666666666667</c:v>
                </c:pt>
                <c:pt idx="54">
                  <c:v>1032.8333333333333</c:v>
                </c:pt>
                <c:pt idx="55">
                  <c:v>1032.5</c:v>
                </c:pt>
                <c:pt idx="56">
                  <c:v>1032.1666666666667</c:v>
                </c:pt>
                <c:pt idx="57">
                  <c:v>1031.8333333333333</c:v>
                </c:pt>
                <c:pt idx="58">
                  <c:v>1031.5</c:v>
                </c:pt>
                <c:pt idx="59">
                  <c:v>1031.1666666666667</c:v>
                </c:pt>
                <c:pt idx="60">
                  <c:v>1030.8333333333333</c:v>
                </c:pt>
                <c:pt idx="61">
                  <c:v>1030.5</c:v>
                </c:pt>
                <c:pt idx="62">
                  <c:v>1030.1666666666667</c:v>
                </c:pt>
                <c:pt idx="63">
                  <c:v>1029.8333333333333</c:v>
                </c:pt>
                <c:pt idx="64">
                  <c:v>1029.5</c:v>
                </c:pt>
                <c:pt idx="65">
                  <c:v>1029.1666666666667</c:v>
                </c:pt>
                <c:pt idx="66">
                  <c:v>1028.8333333333333</c:v>
                </c:pt>
                <c:pt idx="67">
                  <c:v>1028.5</c:v>
                </c:pt>
                <c:pt idx="68">
                  <c:v>1028.1666666666667</c:v>
                </c:pt>
                <c:pt idx="69">
                  <c:v>1027.8333333333333</c:v>
                </c:pt>
                <c:pt idx="70">
                  <c:v>1027.5</c:v>
                </c:pt>
                <c:pt idx="71">
                  <c:v>1027.1666666666667</c:v>
                </c:pt>
                <c:pt idx="72">
                  <c:v>1026.7491228070176</c:v>
                </c:pt>
                <c:pt idx="73">
                  <c:v>1026.2473684210527</c:v>
                </c:pt>
                <c:pt idx="74">
                  <c:v>1025.7456140350878</c:v>
                </c:pt>
                <c:pt idx="75">
                  <c:v>1025.2438596491227</c:v>
                </c:pt>
                <c:pt idx="76">
                  <c:v>1024.7421052631578</c:v>
                </c:pt>
                <c:pt idx="77">
                  <c:v>1024.2403508771929</c:v>
                </c:pt>
                <c:pt idx="78">
                  <c:v>1023.738596491228</c:v>
                </c:pt>
                <c:pt idx="79">
                  <c:v>1023.2368421052631</c:v>
                </c:pt>
                <c:pt idx="80">
                  <c:v>1022.7350877192982</c:v>
                </c:pt>
                <c:pt idx="81">
                  <c:v>1022.2333333333333</c:v>
                </c:pt>
                <c:pt idx="82">
                  <c:v>1021.7315789473683</c:v>
                </c:pt>
                <c:pt idx="83">
                  <c:v>1021.2298245614035</c:v>
                </c:pt>
                <c:pt idx="84">
                  <c:v>1020.7280701754386</c:v>
                </c:pt>
                <c:pt idx="85">
                  <c:v>1020.2263157894737</c:v>
                </c:pt>
                <c:pt idx="86">
                  <c:v>1019.7245614035087</c:v>
                </c:pt>
                <c:pt idx="87">
                  <c:v>1019.2228070175438</c:v>
                </c:pt>
                <c:pt idx="88">
                  <c:v>1018.7210526315789</c:v>
                </c:pt>
                <c:pt idx="89">
                  <c:v>1018.219298245614</c:v>
                </c:pt>
                <c:pt idx="90">
                  <c:v>1017.7175438596491</c:v>
                </c:pt>
                <c:pt idx="91">
                  <c:v>1017.2157894736841</c:v>
                </c:pt>
                <c:pt idx="92">
                  <c:v>1016.7140350877193</c:v>
                </c:pt>
                <c:pt idx="93">
                  <c:v>1016.2122807017544</c:v>
                </c:pt>
                <c:pt idx="94">
                  <c:v>1015.7105263157895</c:v>
                </c:pt>
                <c:pt idx="95">
                  <c:v>1015.2087719298245</c:v>
                </c:pt>
                <c:pt idx="96">
                  <c:v>1014.7070175438596</c:v>
                </c:pt>
                <c:pt idx="97">
                  <c:v>1014.2052631578947</c:v>
                </c:pt>
                <c:pt idx="98">
                  <c:v>1013.7035087719298</c:v>
                </c:pt>
                <c:pt idx="99">
                  <c:v>1013.2017543859648</c:v>
                </c:pt>
                <c:pt idx="100">
                  <c:v>1012.6999999999999</c:v>
                </c:pt>
                <c:pt idx="101">
                  <c:v>1012.198245614035</c:v>
                </c:pt>
                <c:pt idx="102">
                  <c:v>1011.6964912280702</c:v>
                </c:pt>
                <c:pt idx="103">
                  <c:v>1011.1947368421052</c:v>
                </c:pt>
                <c:pt idx="104">
                  <c:v>1010.6929824561403</c:v>
                </c:pt>
                <c:pt idx="105">
                  <c:v>1010.1912280701754</c:v>
                </c:pt>
                <c:pt idx="106">
                  <c:v>1009.6894736842105</c:v>
                </c:pt>
                <c:pt idx="107">
                  <c:v>1009.1877192982456</c:v>
                </c:pt>
                <c:pt idx="108">
                  <c:v>1008.6859649122806</c:v>
                </c:pt>
                <c:pt idx="109">
                  <c:v>1008.1842105263157</c:v>
                </c:pt>
                <c:pt idx="110">
                  <c:v>1007.6824561403508</c:v>
                </c:pt>
                <c:pt idx="111">
                  <c:v>1007.180701754386</c:v>
                </c:pt>
                <c:pt idx="112">
                  <c:v>1006.6789473684209</c:v>
                </c:pt>
                <c:pt idx="113">
                  <c:v>1006.1771929824561</c:v>
                </c:pt>
                <c:pt idx="114">
                  <c:v>1005.6754385964912</c:v>
                </c:pt>
                <c:pt idx="115">
                  <c:v>1005.1736842105263</c:v>
                </c:pt>
                <c:pt idx="116">
                  <c:v>1004.6719298245613</c:v>
                </c:pt>
                <c:pt idx="117">
                  <c:v>1004.1701754385964</c:v>
                </c:pt>
                <c:pt idx="118">
                  <c:v>1003.6684210526315</c:v>
                </c:pt>
                <c:pt idx="119">
                  <c:v>1003.1666666666666</c:v>
                </c:pt>
                <c:pt idx="120">
                  <c:v>1002.6649122807017</c:v>
                </c:pt>
                <c:pt idx="121">
                  <c:v>1002.1631578947367</c:v>
                </c:pt>
                <c:pt idx="122">
                  <c:v>1001.6614035087719</c:v>
                </c:pt>
                <c:pt idx="123">
                  <c:v>1001.159649122807</c:v>
                </c:pt>
                <c:pt idx="124">
                  <c:v>1000.6578947368421</c:v>
                </c:pt>
                <c:pt idx="125">
                  <c:v>1000.1561403508771</c:v>
                </c:pt>
                <c:pt idx="126">
                  <c:v>999.65438596491219</c:v>
                </c:pt>
                <c:pt idx="127">
                  <c:v>999.15263157894731</c:v>
                </c:pt>
                <c:pt idx="128">
                  <c:v>998.65087719298242</c:v>
                </c:pt>
                <c:pt idx="129">
                  <c:v>997.77012987012972</c:v>
                </c:pt>
                <c:pt idx="130">
                  <c:v>996.51038961038944</c:v>
                </c:pt>
                <c:pt idx="131">
                  <c:v>995.25064935064916</c:v>
                </c:pt>
                <c:pt idx="132">
                  <c:v>993.99090909090899</c:v>
                </c:pt>
                <c:pt idx="133">
                  <c:v>992.7311688311687</c:v>
                </c:pt>
                <c:pt idx="134">
                  <c:v>991.47142857142842</c:v>
                </c:pt>
                <c:pt idx="135">
                  <c:v>990.21168831168814</c:v>
                </c:pt>
                <c:pt idx="136">
                  <c:v>988.95194805194785</c:v>
                </c:pt>
                <c:pt idx="137">
                  <c:v>987.69220779220768</c:v>
                </c:pt>
                <c:pt idx="138">
                  <c:v>986.4324675324674</c:v>
                </c:pt>
                <c:pt idx="139">
                  <c:v>985.17272727272712</c:v>
                </c:pt>
                <c:pt idx="140">
                  <c:v>983.91298701298683</c:v>
                </c:pt>
                <c:pt idx="141">
                  <c:v>982.65324675324655</c:v>
                </c:pt>
                <c:pt idx="142">
                  <c:v>981.39350649350638</c:v>
                </c:pt>
                <c:pt idx="143">
                  <c:v>980.1337662337661</c:v>
                </c:pt>
                <c:pt idx="144">
                  <c:v>978.87402597402581</c:v>
                </c:pt>
                <c:pt idx="145">
                  <c:v>977.61428571428553</c:v>
                </c:pt>
                <c:pt idx="146">
                  <c:v>976.35454545454525</c:v>
                </c:pt>
                <c:pt idx="147">
                  <c:v>975.09480519480508</c:v>
                </c:pt>
                <c:pt idx="148">
                  <c:v>973.83506493506479</c:v>
                </c:pt>
                <c:pt idx="149">
                  <c:v>972.57532467532451</c:v>
                </c:pt>
                <c:pt idx="150">
                  <c:v>971.31558441558423</c:v>
                </c:pt>
                <c:pt idx="151">
                  <c:v>970.05584415584394</c:v>
                </c:pt>
                <c:pt idx="152">
                  <c:v>968.79610389610366</c:v>
                </c:pt>
                <c:pt idx="153">
                  <c:v>967.53636363636349</c:v>
                </c:pt>
                <c:pt idx="154">
                  <c:v>966.27662337662321</c:v>
                </c:pt>
                <c:pt idx="155">
                  <c:v>965.01688311688292</c:v>
                </c:pt>
                <c:pt idx="156">
                  <c:v>963.75714285714264</c:v>
                </c:pt>
                <c:pt idx="157">
                  <c:v>962.49740259740236</c:v>
                </c:pt>
                <c:pt idx="158">
                  <c:v>961.23766233766219</c:v>
                </c:pt>
                <c:pt idx="159">
                  <c:v>959.9779220779219</c:v>
                </c:pt>
                <c:pt idx="160">
                  <c:v>958.71818181818162</c:v>
                </c:pt>
                <c:pt idx="161">
                  <c:v>957.45844155844134</c:v>
                </c:pt>
                <c:pt idx="162">
                  <c:v>956.19870129870105</c:v>
                </c:pt>
                <c:pt idx="163">
                  <c:v>954.93896103896088</c:v>
                </c:pt>
                <c:pt idx="164">
                  <c:v>953.6792207792206</c:v>
                </c:pt>
                <c:pt idx="165">
                  <c:v>952.41948051948032</c:v>
                </c:pt>
                <c:pt idx="166">
                  <c:v>951.15974025974003</c:v>
                </c:pt>
                <c:pt idx="167">
                  <c:v>949.89999999999975</c:v>
                </c:pt>
                <c:pt idx="168">
                  <c:v>948.64025974025958</c:v>
                </c:pt>
                <c:pt idx="169">
                  <c:v>947.3805194805193</c:v>
                </c:pt>
                <c:pt idx="170">
                  <c:v>946.12077922077901</c:v>
                </c:pt>
                <c:pt idx="171">
                  <c:v>944.86103896103873</c:v>
                </c:pt>
                <c:pt idx="172">
                  <c:v>943.60129870129845</c:v>
                </c:pt>
                <c:pt idx="173">
                  <c:v>942.34155844155828</c:v>
                </c:pt>
                <c:pt idx="174">
                  <c:v>941.08181818181799</c:v>
                </c:pt>
                <c:pt idx="175">
                  <c:v>939.82207792207771</c:v>
                </c:pt>
                <c:pt idx="176">
                  <c:v>938.56233766233743</c:v>
                </c:pt>
                <c:pt idx="177">
                  <c:v>937.30259740259714</c:v>
                </c:pt>
                <c:pt idx="178">
                  <c:v>936.04285714285697</c:v>
                </c:pt>
                <c:pt idx="179">
                  <c:v>934.78311688311669</c:v>
                </c:pt>
                <c:pt idx="180">
                  <c:v>933.52337662337641</c:v>
                </c:pt>
                <c:pt idx="181">
                  <c:v>932.26363636363612</c:v>
                </c:pt>
                <c:pt idx="182">
                  <c:v>931.00389610389584</c:v>
                </c:pt>
                <c:pt idx="183">
                  <c:v>929.74415584415556</c:v>
                </c:pt>
                <c:pt idx="184">
                  <c:v>928.48441558441539</c:v>
                </c:pt>
                <c:pt idx="185">
                  <c:v>927.2246753246751</c:v>
                </c:pt>
                <c:pt idx="186">
                  <c:v>925.96493506493482</c:v>
                </c:pt>
                <c:pt idx="187">
                  <c:v>924.70519480519454</c:v>
                </c:pt>
                <c:pt idx="188">
                  <c:v>923.44545454545437</c:v>
                </c:pt>
                <c:pt idx="189">
                  <c:v>922.18571428571408</c:v>
                </c:pt>
                <c:pt idx="190">
                  <c:v>920.9259740259738</c:v>
                </c:pt>
                <c:pt idx="191">
                  <c:v>919.66623376623352</c:v>
                </c:pt>
                <c:pt idx="192">
                  <c:v>918.40649350649323</c:v>
                </c:pt>
                <c:pt idx="193">
                  <c:v>917.14675324675295</c:v>
                </c:pt>
                <c:pt idx="194">
                  <c:v>915.88701298701278</c:v>
                </c:pt>
                <c:pt idx="195">
                  <c:v>914.6272727272725</c:v>
                </c:pt>
                <c:pt idx="196">
                  <c:v>913.36753246753221</c:v>
                </c:pt>
                <c:pt idx="197">
                  <c:v>912.10779220779193</c:v>
                </c:pt>
                <c:pt idx="198">
                  <c:v>910.84805194805176</c:v>
                </c:pt>
                <c:pt idx="199">
                  <c:v>909.58831168831148</c:v>
                </c:pt>
                <c:pt idx="200">
                  <c:v>908.32857142857119</c:v>
                </c:pt>
                <c:pt idx="201">
                  <c:v>907.06883116883091</c:v>
                </c:pt>
                <c:pt idx="202">
                  <c:v>905.80909090909074</c:v>
                </c:pt>
                <c:pt idx="203">
                  <c:v>904.54935064935046</c:v>
                </c:pt>
                <c:pt idx="204">
                  <c:v>903.28961038961029</c:v>
                </c:pt>
                <c:pt idx="205">
                  <c:v>902.02987012987001</c:v>
                </c:pt>
                <c:pt idx="206">
                  <c:v>900.68055555555543</c:v>
                </c:pt>
                <c:pt idx="207">
                  <c:v>899.24166666666667</c:v>
                </c:pt>
                <c:pt idx="208">
                  <c:v>897.80277777777781</c:v>
                </c:pt>
                <c:pt idx="209">
                  <c:v>896.36388888888894</c:v>
                </c:pt>
                <c:pt idx="210">
                  <c:v>894.92500000000007</c:v>
                </c:pt>
                <c:pt idx="211">
                  <c:v>893.4861111111112</c:v>
                </c:pt>
                <c:pt idx="212">
                  <c:v>892.04722222222233</c:v>
                </c:pt>
                <c:pt idx="213">
                  <c:v>890.60833333333346</c:v>
                </c:pt>
                <c:pt idx="214">
                  <c:v>889.16944444444459</c:v>
                </c:pt>
                <c:pt idx="215">
                  <c:v>887.73055555555584</c:v>
                </c:pt>
                <c:pt idx="216">
                  <c:v>886.29166666666697</c:v>
                </c:pt>
                <c:pt idx="217">
                  <c:v>884.8527777777781</c:v>
                </c:pt>
                <c:pt idx="218">
                  <c:v>883.41388888888923</c:v>
                </c:pt>
                <c:pt idx="219">
                  <c:v>881.97500000000036</c:v>
                </c:pt>
                <c:pt idx="220">
                  <c:v>880.5361111111115</c:v>
                </c:pt>
                <c:pt idx="221">
                  <c:v>879.09722222222263</c:v>
                </c:pt>
                <c:pt idx="222">
                  <c:v>877.65833333333376</c:v>
                </c:pt>
                <c:pt idx="223">
                  <c:v>876.21944444444489</c:v>
                </c:pt>
                <c:pt idx="224">
                  <c:v>874.78055555555613</c:v>
                </c:pt>
                <c:pt idx="225">
                  <c:v>873.34166666666727</c:v>
                </c:pt>
                <c:pt idx="226">
                  <c:v>871.9027777777784</c:v>
                </c:pt>
                <c:pt idx="227">
                  <c:v>870.46388888888953</c:v>
                </c:pt>
                <c:pt idx="228">
                  <c:v>869.02500000000066</c:v>
                </c:pt>
                <c:pt idx="229">
                  <c:v>867.58611111111179</c:v>
                </c:pt>
                <c:pt idx="230">
                  <c:v>866.14722222222292</c:v>
                </c:pt>
                <c:pt idx="231">
                  <c:v>864.70833333333405</c:v>
                </c:pt>
                <c:pt idx="232">
                  <c:v>863.2694444444453</c:v>
                </c:pt>
                <c:pt idx="233">
                  <c:v>861.83055555555643</c:v>
                </c:pt>
                <c:pt idx="234">
                  <c:v>860.39166666666756</c:v>
                </c:pt>
                <c:pt idx="235">
                  <c:v>858.95277777777869</c:v>
                </c:pt>
                <c:pt idx="236">
                  <c:v>857.51388888888982</c:v>
                </c:pt>
                <c:pt idx="237">
                  <c:v>856.07500000000095</c:v>
                </c:pt>
                <c:pt idx="238">
                  <c:v>854.63611111111209</c:v>
                </c:pt>
                <c:pt idx="239">
                  <c:v>853.19722222222322</c:v>
                </c:pt>
                <c:pt idx="240">
                  <c:v>851.75833333333435</c:v>
                </c:pt>
                <c:pt idx="241">
                  <c:v>850.31944444444548</c:v>
                </c:pt>
                <c:pt idx="242">
                  <c:v>848.57500000000164</c:v>
                </c:pt>
                <c:pt idx="243">
                  <c:v>846.52500000000168</c:v>
                </c:pt>
                <c:pt idx="244">
                  <c:v>844.47500000000173</c:v>
                </c:pt>
                <c:pt idx="245">
                  <c:v>842.42500000000177</c:v>
                </c:pt>
                <c:pt idx="246">
                  <c:v>840.37500000000182</c:v>
                </c:pt>
                <c:pt idx="247">
                  <c:v>838.32500000000175</c:v>
                </c:pt>
                <c:pt idx="248">
                  <c:v>836.2750000000018</c:v>
                </c:pt>
                <c:pt idx="249">
                  <c:v>834.22500000000184</c:v>
                </c:pt>
                <c:pt idx="250">
                  <c:v>832.17500000000189</c:v>
                </c:pt>
                <c:pt idx="251">
                  <c:v>830.12500000000193</c:v>
                </c:pt>
                <c:pt idx="252">
                  <c:v>828.07500000000198</c:v>
                </c:pt>
                <c:pt idx="253">
                  <c:v>826.02500000000202</c:v>
                </c:pt>
                <c:pt idx="254">
                  <c:v>823.97500000000207</c:v>
                </c:pt>
                <c:pt idx="255">
                  <c:v>821.92500000000211</c:v>
                </c:pt>
                <c:pt idx="256">
                  <c:v>819.87500000000216</c:v>
                </c:pt>
                <c:pt idx="257">
                  <c:v>817.82500000000221</c:v>
                </c:pt>
                <c:pt idx="258">
                  <c:v>815.77500000000225</c:v>
                </c:pt>
                <c:pt idx="259">
                  <c:v>813.7250000000023</c:v>
                </c:pt>
                <c:pt idx="260">
                  <c:v>811.67500000000234</c:v>
                </c:pt>
                <c:pt idx="261">
                  <c:v>809.62500000000239</c:v>
                </c:pt>
                <c:pt idx="262">
                  <c:v>807.57500000000243</c:v>
                </c:pt>
                <c:pt idx="263">
                  <c:v>805.52500000000248</c:v>
                </c:pt>
                <c:pt idx="264">
                  <c:v>803.47500000000252</c:v>
                </c:pt>
                <c:pt idx="265">
                  <c:v>801.42500000000257</c:v>
                </c:pt>
                <c:pt idx="266">
                  <c:v>799.37500000000261</c:v>
                </c:pt>
                <c:pt idx="267">
                  <c:v>797.32500000000266</c:v>
                </c:pt>
                <c:pt idx="268">
                  <c:v>795.27500000000271</c:v>
                </c:pt>
                <c:pt idx="269">
                  <c:v>793.22500000000275</c:v>
                </c:pt>
                <c:pt idx="270">
                  <c:v>791.1750000000028</c:v>
                </c:pt>
                <c:pt idx="271">
                  <c:v>789.12500000000284</c:v>
                </c:pt>
                <c:pt idx="272">
                  <c:v>787.07500000000289</c:v>
                </c:pt>
                <c:pt idx="273">
                  <c:v>785.02500000000293</c:v>
                </c:pt>
                <c:pt idx="274">
                  <c:v>782.97500000000298</c:v>
                </c:pt>
                <c:pt idx="275">
                  <c:v>780.92500000000302</c:v>
                </c:pt>
                <c:pt idx="276">
                  <c:v>778.87500000000307</c:v>
                </c:pt>
                <c:pt idx="277">
                  <c:v>776.82500000000312</c:v>
                </c:pt>
                <c:pt idx="278">
                  <c:v>774.77500000000316</c:v>
                </c:pt>
                <c:pt idx="279">
                  <c:v>772.72500000000321</c:v>
                </c:pt>
                <c:pt idx="280">
                  <c:v>770.67500000000325</c:v>
                </c:pt>
                <c:pt idx="281">
                  <c:v>768.6250000000033</c:v>
                </c:pt>
                <c:pt idx="282">
                  <c:v>766.57500000000334</c:v>
                </c:pt>
                <c:pt idx="283">
                  <c:v>764.52500000000339</c:v>
                </c:pt>
                <c:pt idx="284">
                  <c:v>762.8285714285737</c:v>
                </c:pt>
                <c:pt idx="285">
                  <c:v>761.48571428571654</c:v>
                </c:pt>
                <c:pt idx="286">
                  <c:v>760.14285714285938</c:v>
                </c:pt>
                <c:pt idx="287">
                  <c:v>758.80000000000234</c:v>
                </c:pt>
                <c:pt idx="288">
                  <c:v>757.45714285714519</c:v>
                </c:pt>
                <c:pt idx="289">
                  <c:v>756.11428571428803</c:v>
                </c:pt>
                <c:pt idx="290">
                  <c:v>754.77142857143099</c:v>
                </c:pt>
                <c:pt idx="291">
                  <c:v>753.42857142857383</c:v>
                </c:pt>
                <c:pt idx="292">
                  <c:v>752.08571428571679</c:v>
                </c:pt>
                <c:pt idx="293">
                  <c:v>750.74285714285963</c:v>
                </c:pt>
                <c:pt idx="294">
                  <c:v>749.40000000000248</c:v>
                </c:pt>
                <c:pt idx="295">
                  <c:v>748.05714285714544</c:v>
                </c:pt>
                <c:pt idx="296">
                  <c:v>746.71428571428828</c:v>
                </c:pt>
                <c:pt idx="297">
                  <c:v>745.37142857143112</c:v>
                </c:pt>
                <c:pt idx="298">
                  <c:v>744.02857142857408</c:v>
                </c:pt>
                <c:pt idx="299">
                  <c:v>742.68571428571693</c:v>
                </c:pt>
                <c:pt idx="300">
                  <c:v>741.34285714285988</c:v>
                </c:pt>
                <c:pt idx="301">
                  <c:v>740.00000000000273</c:v>
                </c:pt>
                <c:pt idx="302">
                  <c:v>738.65714285714557</c:v>
                </c:pt>
                <c:pt idx="303">
                  <c:v>737.31428571428853</c:v>
                </c:pt>
                <c:pt idx="304">
                  <c:v>735.97142857143137</c:v>
                </c:pt>
                <c:pt idx="305">
                  <c:v>734.62857142857422</c:v>
                </c:pt>
                <c:pt idx="306">
                  <c:v>733.28571428571718</c:v>
                </c:pt>
                <c:pt idx="307">
                  <c:v>731.94285714286002</c:v>
                </c:pt>
                <c:pt idx="308">
                  <c:v>730.60000000000286</c:v>
                </c:pt>
                <c:pt idx="309">
                  <c:v>729.25714285714582</c:v>
                </c:pt>
                <c:pt idx="310">
                  <c:v>727.91428571428867</c:v>
                </c:pt>
                <c:pt idx="311">
                  <c:v>726.57142857143162</c:v>
                </c:pt>
                <c:pt idx="312">
                  <c:v>725.22857142857447</c:v>
                </c:pt>
                <c:pt idx="313">
                  <c:v>723.88571428571731</c:v>
                </c:pt>
                <c:pt idx="314">
                  <c:v>722.54285714286027</c:v>
                </c:pt>
                <c:pt idx="315">
                  <c:v>721.20000000000312</c:v>
                </c:pt>
                <c:pt idx="316">
                  <c:v>719.85714285714596</c:v>
                </c:pt>
                <c:pt idx="317">
                  <c:v>718.51428571428892</c:v>
                </c:pt>
                <c:pt idx="318">
                  <c:v>717.17142857143176</c:v>
                </c:pt>
                <c:pt idx="319">
                  <c:v>715.82857142857461</c:v>
                </c:pt>
                <c:pt idx="320">
                  <c:v>714.48571428571756</c:v>
                </c:pt>
                <c:pt idx="321">
                  <c:v>713.14285714286041</c:v>
                </c:pt>
                <c:pt idx="322">
                  <c:v>711.80000000000337</c:v>
                </c:pt>
                <c:pt idx="323">
                  <c:v>710.45714285714621</c:v>
                </c:pt>
                <c:pt idx="324">
                  <c:v>709.11428571428905</c:v>
                </c:pt>
                <c:pt idx="325">
                  <c:v>707.77142857143201</c:v>
                </c:pt>
                <c:pt idx="326">
                  <c:v>706.45000000000334</c:v>
                </c:pt>
                <c:pt idx="327">
                  <c:v>705.15000000000339</c:v>
                </c:pt>
                <c:pt idx="328">
                  <c:v>703.85000000000343</c:v>
                </c:pt>
                <c:pt idx="329">
                  <c:v>702.55000000000337</c:v>
                </c:pt>
                <c:pt idx="330">
                  <c:v>701.25000000000341</c:v>
                </c:pt>
                <c:pt idx="331">
                  <c:v>699.95000000000346</c:v>
                </c:pt>
                <c:pt idx="332">
                  <c:v>698.6500000000035</c:v>
                </c:pt>
                <c:pt idx="333">
                  <c:v>697.35000000000355</c:v>
                </c:pt>
                <c:pt idx="334">
                  <c:v>696.05000000000359</c:v>
                </c:pt>
                <c:pt idx="335">
                  <c:v>694.75000000000352</c:v>
                </c:pt>
                <c:pt idx="336">
                  <c:v>693.45000000000357</c:v>
                </c:pt>
                <c:pt idx="337">
                  <c:v>692.15000000000362</c:v>
                </c:pt>
                <c:pt idx="338">
                  <c:v>690.85000000000366</c:v>
                </c:pt>
                <c:pt idx="339">
                  <c:v>689.55000000000371</c:v>
                </c:pt>
                <c:pt idx="340">
                  <c:v>688.25000000000375</c:v>
                </c:pt>
                <c:pt idx="341">
                  <c:v>686.95000000000368</c:v>
                </c:pt>
                <c:pt idx="342">
                  <c:v>685.65000000000373</c:v>
                </c:pt>
                <c:pt idx="343">
                  <c:v>684.35000000000377</c:v>
                </c:pt>
                <c:pt idx="344">
                  <c:v>683.05000000000382</c:v>
                </c:pt>
                <c:pt idx="345">
                  <c:v>681.75000000000387</c:v>
                </c:pt>
                <c:pt idx="346">
                  <c:v>680.45000000000391</c:v>
                </c:pt>
                <c:pt idx="347">
                  <c:v>679.15000000000396</c:v>
                </c:pt>
                <c:pt idx="348">
                  <c:v>677.85000000000389</c:v>
                </c:pt>
                <c:pt idx="349">
                  <c:v>676.55000000000393</c:v>
                </c:pt>
                <c:pt idx="350">
                  <c:v>675.25000000000398</c:v>
                </c:pt>
                <c:pt idx="351">
                  <c:v>673.95000000000402</c:v>
                </c:pt>
                <c:pt idx="352">
                  <c:v>672.65000000000407</c:v>
                </c:pt>
                <c:pt idx="353">
                  <c:v>671.35000000000412</c:v>
                </c:pt>
                <c:pt idx="354">
                  <c:v>670.05000000000405</c:v>
                </c:pt>
                <c:pt idx="355">
                  <c:v>668.75000000000409</c:v>
                </c:pt>
                <c:pt idx="356">
                  <c:v>667.45000000000414</c:v>
                </c:pt>
                <c:pt idx="357">
                  <c:v>666.15000000000418</c:v>
                </c:pt>
                <c:pt idx="358">
                  <c:v>664.85000000000423</c:v>
                </c:pt>
                <c:pt idx="359">
                  <c:v>663.55000000000427</c:v>
                </c:pt>
                <c:pt idx="360">
                  <c:v>662.25000000000421</c:v>
                </c:pt>
                <c:pt idx="361">
                  <c:v>660.95000000000425</c:v>
                </c:pt>
                <c:pt idx="362">
                  <c:v>659.6500000000043</c:v>
                </c:pt>
                <c:pt idx="363">
                  <c:v>658.35000000000434</c:v>
                </c:pt>
                <c:pt idx="364">
                  <c:v>657.05000000000439</c:v>
                </c:pt>
                <c:pt idx="365">
                  <c:v>655.75000000000443</c:v>
                </c:pt>
                <c:pt idx="366">
                  <c:v>654.98666666666747</c:v>
                </c:pt>
                <c:pt idx="367">
                  <c:v>654.76000000000079</c:v>
                </c:pt>
                <c:pt idx="368">
                  <c:v>654.5333333333341</c:v>
                </c:pt>
                <c:pt idx="369">
                  <c:v>654.30666666666752</c:v>
                </c:pt>
                <c:pt idx="370">
                  <c:v>654.08000000000084</c:v>
                </c:pt>
                <c:pt idx="371">
                  <c:v>653.85333333333415</c:v>
                </c:pt>
                <c:pt idx="372">
                  <c:v>653.62666666666746</c:v>
                </c:pt>
                <c:pt idx="373">
                  <c:v>653.40000000000089</c:v>
                </c:pt>
                <c:pt idx="374">
                  <c:v>653.1733333333342</c:v>
                </c:pt>
                <c:pt idx="375">
                  <c:v>652.94666666666751</c:v>
                </c:pt>
                <c:pt idx="376">
                  <c:v>652.72000000000082</c:v>
                </c:pt>
                <c:pt idx="377">
                  <c:v>652.49333333333425</c:v>
                </c:pt>
                <c:pt idx="378">
                  <c:v>652.26666666666756</c:v>
                </c:pt>
                <c:pt idx="379">
                  <c:v>652.04000000000087</c:v>
                </c:pt>
                <c:pt idx="380">
                  <c:v>651.81333333333419</c:v>
                </c:pt>
                <c:pt idx="381">
                  <c:v>651.01000000000511</c:v>
                </c:pt>
                <c:pt idx="382">
                  <c:v>649.63000000000523</c:v>
                </c:pt>
                <c:pt idx="383">
                  <c:v>648.25000000000523</c:v>
                </c:pt>
                <c:pt idx="384">
                  <c:v>646.87000000000523</c:v>
                </c:pt>
                <c:pt idx="385">
                  <c:v>645.49000000000524</c:v>
                </c:pt>
                <c:pt idx="386">
                  <c:v>644.11000000000524</c:v>
                </c:pt>
                <c:pt idx="387">
                  <c:v>642.73000000000536</c:v>
                </c:pt>
                <c:pt idx="388">
                  <c:v>641.35000000000537</c:v>
                </c:pt>
                <c:pt idx="389">
                  <c:v>639.97000000000537</c:v>
                </c:pt>
                <c:pt idx="390">
                  <c:v>638.59000000000538</c:v>
                </c:pt>
                <c:pt idx="391">
                  <c:v>637.21000000000549</c:v>
                </c:pt>
                <c:pt idx="392">
                  <c:v>635.8300000000055</c:v>
                </c:pt>
                <c:pt idx="393">
                  <c:v>634.4500000000055</c:v>
                </c:pt>
                <c:pt idx="394">
                  <c:v>633.07000000000551</c:v>
                </c:pt>
                <c:pt idx="395">
                  <c:v>631.69000000000551</c:v>
                </c:pt>
                <c:pt idx="396">
                  <c:v>630.31000000000563</c:v>
                </c:pt>
                <c:pt idx="397">
                  <c:v>628.93000000000563</c:v>
                </c:pt>
                <c:pt idx="398">
                  <c:v>627.55000000000564</c:v>
                </c:pt>
                <c:pt idx="399">
                  <c:v>626.17000000000564</c:v>
                </c:pt>
                <c:pt idx="400">
                  <c:v>624.79000000000565</c:v>
                </c:pt>
                <c:pt idx="401">
                  <c:v>622.96000000000936</c:v>
                </c:pt>
                <c:pt idx="402">
                  <c:v>620.68000000000939</c:v>
                </c:pt>
                <c:pt idx="403">
                  <c:v>618.40000000000941</c:v>
                </c:pt>
                <c:pt idx="404">
                  <c:v>616.12000000000944</c:v>
                </c:pt>
                <c:pt idx="405">
                  <c:v>613.84000000000947</c:v>
                </c:pt>
                <c:pt idx="406">
                  <c:v>611.5600000000095</c:v>
                </c:pt>
                <c:pt idx="407">
                  <c:v>609.28000000000952</c:v>
                </c:pt>
                <c:pt idx="408">
                  <c:v>607.00000000000955</c:v>
                </c:pt>
                <c:pt idx="409">
                  <c:v>604.72000000000958</c:v>
                </c:pt>
                <c:pt idx="410">
                  <c:v>602.4400000000096</c:v>
                </c:pt>
                <c:pt idx="411">
                  <c:v>597.6833333333642</c:v>
                </c:pt>
                <c:pt idx="412">
                  <c:v>590.45000000003108</c:v>
                </c:pt>
                <c:pt idx="413">
                  <c:v>583.21666666669807</c:v>
                </c:pt>
                <c:pt idx="414">
                  <c:v>575.98333333336495</c:v>
                </c:pt>
                <c:pt idx="415">
                  <c:v>568.75000000003183</c:v>
                </c:pt>
                <c:pt idx="416">
                  <c:v>561.51666666669871</c:v>
                </c:pt>
                <c:pt idx="417">
                  <c:v>554.28333333336559</c:v>
                </c:pt>
                <c:pt idx="418">
                  <c:v>547.05000000003247</c:v>
                </c:pt>
                <c:pt idx="419">
                  <c:v>539.81666666669935</c:v>
                </c:pt>
                <c:pt idx="420">
                  <c:v>531.17916666671226</c:v>
                </c:pt>
                <c:pt idx="421">
                  <c:v>521.13750000004575</c:v>
                </c:pt>
                <c:pt idx="422">
                  <c:v>511.09583333337923</c:v>
                </c:pt>
                <c:pt idx="423">
                  <c:v>501.05416666671272</c:v>
                </c:pt>
                <c:pt idx="424">
                  <c:v>491.0125000000462</c:v>
                </c:pt>
                <c:pt idx="425">
                  <c:v>480.97083333337969</c:v>
                </c:pt>
                <c:pt idx="426">
                  <c:v>470.92916666671312</c:v>
                </c:pt>
                <c:pt idx="427">
                  <c:v>460.8875000000466</c:v>
                </c:pt>
                <c:pt idx="428">
                  <c:v>450.84583333338009</c:v>
                </c:pt>
                <c:pt idx="429">
                  <c:v>440.80416666671357</c:v>
                </c:pt>
                <c:pt idx="430">
                  <c:v>430.76250000004705</c:v>
                </c:pt>
                <c:pt idx="431">
                  <c:v>420.72083333338054</c:v>
                </c:pt>
                <c:pt idx="432">
                  <c:v>408.42500000006868</c:v>
                </c:pt>
                <c:pt idx="433">
                  <c:v>393.87500000006906</c:v>
                </c:pt>
                <c:pt idx="434">
                  <c:v>379.32500000006945</c:v>
                </c:pt>
                <c:pt idx="435">
                  <c:v>364.77500000006984</c:v>
                </c:pt>
                <c:pt idx="436">
                  <c:v>350.22500000007022</c:v>
                </c:pt>
                <c:pt idx="437">
                  <c:v>335.67500000007061</c:v>
                </c:pt>
                <c:pt idx="438">
                  <c:v>321.125000000071</c:v>
                </c:pt>
                <c:pt idx="439">
                  <c:v>306.57500000007138</c:v>
                </c:pt>
                <c:pt idx="440">
                  <c:v>292.02500000007177</c:v>
                </c:pt>
                <c:pt idx="441">
                  <c:v>277.47500000007216</c:v>
                </c:pt>
                <c:pt idx="442">
                  <c:v>264.29090909096794</c:v>
                </c:pt>
                <c:pt idx="443">
                  <c:v>252.47272727278633</c:v>
                </c:pt>
                <c:pt idx="444">
                  <c:v>240.65454545460472</c:v>
                </c:pt>
                <c:pt idx="445">
                  <c:v>228.83636363642307</c:v>
                </c:pt>
                <c:pt idx="446">
                  <c:v>217.01818181824146</c:v>
                </c:pt>
                <c:pt idx="447">
                  <c:v>205.20000000005982</c:v>
                </c:pt>
                <c:pt idx="448">
                  <c:v>193.3818181818782</c:v>
                </c:pt>
                <c:pt idx="449">
                  <c:v>181.56363636369656</c:v>
                </c:pt>
                <c:pt idx="450">
                  <c:v>169.74545454551495</c:v>
                </c:pt>
                <c:pt idx="451">
                  <c:v>157.92727272733333</c:v>
                </c:pt>
                <c:pt idx="452">
                  <c:v>146.10909090915169</c:v>
                </c:pt>
                <c:pt idx="453">
                  <c:v>136.24375000004085</c:v>
                </c:pt>
                <c:pt idx="454">
                  <c:v>128.33125000004102</c:v>
                </c:pt>
                <c:pt idx="455">
                  <c:v>120.4187500000412</c:v>
                </c:pt>
                <c:pt idx="456">
                  <c:v>112.50625000004138</c:v>
                </c:pt>
                <c:pt idx="457">
                  <c:v>104.59375000004155</c:v>
                </c:pt>
                <c:pt idx="458">
                  <c:v>96.681250000041729</c:v>
                </c:pt>
                <c:pt idx="459">
                  <c:v>88.768750000041905</c:v>
                </c:pt>
                <c:pt idx="460">
                  <c:v>80.856250000042081</c:v>
                </c:pt>
                <c:pt idx="461">
                  <c:v>74.700000000023536</c:v>
                </c:pt>
                <c:pt idx="462">
                  <c:v>70.300000000023687</c:v>
                </c:pt>
                <c:pt idx="463">
                  <c:v>65.900000000023837</c:v>
                </c:pt>
                <c:pt idx="464">
                  <c:v>61.500000000023995</c:v>
                </c:pt>
                <c:pt idx="465">
                  <c:v>57.100000000024153</c:v>
                </c:pt>
                <c:pt idx="466">
                  <c:v>51.225000000040474</c:v>
                </c:pt>
                <c:pt idx="467">
                  <c:v>43.875000000040473</c:v>
                </c:pt>
                <c:pt idx="468">
                  <c:v>20.100000000221371</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5334-48F2-9051-C40E5F5CB63F}"/>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47.400100000000343</c:v>
                </c:pt>
                <c:pt idx="926">
                  <c:v>47.400200000000346</c:v>
                </c:pt>
                <c:pt idx="927">
                  <c:v>47.40030000000035</c:v>
                </c:pt>
                <c:pt idx="928">
                  <c:v>47.400400000000353</c:v>
                </c:pt>
                <c:pt idx="929">
                  <c:v>47.400500000000356</c:v>
                </c:pt>
                <c:pt idx="930">
                  <c:v>47.40060000000036</c:v>
                </c:pt>
                <c:pt idx="931">
                  <c:v>47.400700000000363</c:v>
                </c:pt>
                <c:pt idx="932">
                  <c:v>47.400800000000366</c:v>
                </c:pt>
                <c:pt idx="933">
                  <c:v>47.40090000000037</c:v>
                </c:pt>
                <c:pt idx="934">
                  <c:v>47.401000000000373</c:v>
                </c:pt>
                <c:pt idx="935">
                  <c:v>47.401100000000376</c:v>
                </c:pt>
                <c:pt idx="936">
                  <c:v>47.401200000000379</c:v>
                </c:pt>
                <c:pt idx="937">
                  <c:v>47.401300000000383</c:v>
                </c:pt>
                <c:pt idx="938">
                  <c:v>47.401400000000386</c:v>
                </c:pt>
                <c:pt idx="939">
                  <c:v>47.401500000000389</c:v>
                </c:pt>
                <c:pt idx="940">
                  <c:v>47.401600000000393</c:v>
                </c:pt>
                <c:pt idx="941">
                  <c:v>47.401700000000396</c:v>
                </c:pt>
                <c:pt idx="942">
                  <c:v>47.401800000000399</c:v>
                </c:pt>
                <c:pt idx="943">
                  <c:v>47.401900000000403</c:v>
                </c:pt>
                <c:pt idx="944">
                  <c:v>47.402000000000406</c:v>
                </c:pt>
                <c:pt idx="945">
                  <c:v>47.402100000000409</c:v>
                </c:pt>
                <c:pt idx="946">
                  <c:v>47.402200000000413</c:v>
                </c:pt>
                <c:pt idx="947">
                  <c:v>47.402300000000416</c:v>
                </c:pt>
                <c:pt idx="948">
                  <c:v>47.402400000000419</c:v>
                </c:pt>
                <c:pt idx="949">
                  <c:v>47.402500000000423</c:v>
                </c:pt>
                <c:pt idx="950">
                  <c:v>47.402600000000426</c:v>
                </c:pt>
                <c:pt idx="951">
                  <c:v>47.402700000000429</c:v>
                </c:pt>
                <c:pt idx="952">
                  <c:v>47.402800000000433</c:v>
                </c:pt>
                <c:pt idx="953">
                  <c:v>47.402900000000436</c:v>
                </c:pt>
                <c:pt idx="954">
                  <c:v>47.403000000000439</c:v>
                </c:pt>
                <c:pt idx="955">
                  <c:v>47.403100000000443</c:v>
                </c:pt>
                <c:pt idx="956">
                  <c:v>47.403200000000446</c:v>
                </c:pt>
                <c:pt idx="957">
                  <c:v>47.403300000000449</c:v>
                </c:pt>
                <c:pt idx="958">
                  <c:v>47.403400000000453</c:v>
                </c:pt>
                <c:pt idx="959">
                  <c:v>47.403500000000456</c:v>
                </c:pt>
                <c:pt idx="960">
                  <c:v>47.403600000000459</c:v>
                </c:pt>
                <c:pt idx="961">
                  <c:v>47.403700000000462</c:v>
                </c:pt>
                <c:pt idx="962">
                  <c:v>47.403800000000466</c:v>
                </c:pt>
                <c:pt idx="963">
                  <c:v>47.403900000000469</c:v>
                </c:pt>
                <c:pt idx="964">
                  <c:v>47.404000000000472</c:v>
                </c:pt>
                <c:pt idx="965">
                  <c:v>47.404100000000476</c:v>
                </c:pt>
                <c:pt idx="966">
                  <c:v>47.404200000000479</c:v>
                </c:pt>
                <c:pt idx="967">
                  <c:v>47.404300000000482</c:v>
                </c:pt>
                <c:pt idx="968">
                  <c:v>47.404400000000486</c:v>
                </c:pt>
                <c:pt idx="969">
                  <c:v>47.404500000000489</c:v>
                </c:pt>
                <c:pt idx="970">
                  <c:v>47.404600000000492</c:v>
                </c:pt>
                <c:pt idx="971">
                  <c:v>47.404700000000496</c:v>
                </c:pt>
                <c:pt idx="972">
                  <c:v>47.404800000000499</c:v>
                </c:pt>
                <c:pt idx="973">
                  <c:v>47.404900000000502</c:v>
                </c:pt>
                <c:pt idx="974">
                  <c:v>47.405000000000506</c:v>
                </c:pt>
                <c:pt idx="975">
                  <c:v>47.405100000000509</c:v>
                </c:pt>
                <c:pt idx="976">
                  <c:v>47.405200000000512</c:v>
                </c:pt>
                <c:pt idx="977">
                  <c:v>47.405300000000516</c:v>
                </c:pt>
                <c:pt idx="978">
                  <c:v>47.405400000000519</c:v>
                </c:pt>
                <c:pt idx="979">
                  <c:v>47.405500000000522</c:v>
                </c:pt>
                <c:pt idx="980">
                  <c:v>47.405600000000526</c:v>
                </c:pt>
                <c:pt idx="981">
                  <c:v>47.405700000000529</c:v>
                </c:pt>
                <c:pt idx="982">
                  <c:v>47.405800000000532</c:v>
                </c:pt>
                <c:pt idx="983">
                  <c:v>47.405900000000535</c:v>
                </c:pt>
                <c:pt idx="984">
                  <c:v>47.406000000000539</c:v>
                </c:pt>
                <c:pt idx="985">
                  <c:v>47.406100000000542</c:v>
                </c:pt>
                <c:pt idx="986">
                  <c:v>47.406200000000545</c:v>
                </c:pt>
                <c:pt idx="987">
                  <c:v>47.406300000000549</c:v>
                </c:pt>
                <c:pt idx="988">
                  <c:v>47.406400000000552</c:v>
                </c:pt>
                <c:pt idx="989">
                  <c:v>47.406500000000555</c:v>
                </c:pt>
                <c:pt idx="990">
                  <c:v>47.406600000000559</c:v>
                </c:pt>
                <c:pt idx="991">
                  <c:v>47.406700000000562</c:v>
                </c:pt>
                <c:pt idx="992">
                  <c:v>47.406800000000565</c:v>
                </c:pt>
                <c:pt idx="993">
                  <c:v>47.406900000000569</c:v>
                </c:pt>
                <c:pt idx="994">
                  <c:v>47.407000000000572</c:v>
                </c:pt>
                <c:pt idx="995">
                  <c:v>47.407100000000575</c:v>
                </c:pt>
                <c:pt idx="996">
                  <c:v>47.407200000000579</c:v>
                </c:pt>
                <c:pt idx="997">
                  <c:v>47.407300000000582</c:v>
                </c:pt>
                <c:pt idx="998">
                  <c:v>47.407400000000585</c:v>
                </c:pt>
                <c:pt idx="999">
                  <c:v>47.407500000000589</c:v>
                </c:pt>
                <c:pt idx="1000">
                  <c:v>47.407600000000592</c:v>
                </c:pt>
              </c:numCache>
            </c:numRef>
          </c:xVal>
          <c:yVal>
            <c:numRef>
              <c:f>Calculs!$T$4:$T$1004</c:f>
              <c:numCache>
                <c:formatCode>0.00</c:formatCode>
                <c:ptCount val="1001"/>
                <c:pt idx="0">
                  <c:v>122.73291</c:v>
                </c:pt>
                <c:pt idx="1">
                  <c:v>122.72235932965609</c:v>
                </c:pt>
                <c:pt idx="2">
                  <c:v>122.70017250883352</c:v>
                </c:pt>
                <c:pt idx="3">
                  <c:v>122.67316108918267</c:v>
                </c:pt>
                <c:pt idx="4">
                  <c:v>122.64132507070353</c:v>
                </c:pt>
                <c:pt idx="5">
                  <c:v>122.60466445339611</c:v>
                </c:pt>
                <c:pt idx="6">
                  <c:v>122.56317923726043</c:v>
                </c:pt>
                <c:pt idx="7">
                  <c:v>122.51686942229645</c:v>
                </c:pt>
                <c:pt idx="8">
                  <c:v>122.46573500850421</c:v>
                </c:pt>
                <c:pt idx="9">
                  <c:v>122.40977599588368</c:v>
                </c:pt>
                <c:pt idx="10">
                  <c:v>122.34899238443489</c:v>
                </c:pt>
                <c:pt idx="11">
                  <c:v>122.2861527491192</c:v>
                </c:pt>
                <c:pt idx="12">
                  <c:v>122.22402566489799</c:v>
                </c:pt>
                <c:pt idx="13">
                  <c:v>122.16263219239475</c:v>
                </c:pt>
                <c:pt idx="14">
                  <c:v>122.10199339223298</c:v>
                </c:pt>
                <c:pt idx="15">
                  <c:v>122.04210926441266</c:v>
                </c:pt>
                <c:pt idx="16">
                  <c:v>121.98297980893378</c:v>
                </c:pt>
                <c:pt idx="17">
                  <c:v>121.92460502579635</c:v>
                </c:pt>
                <c:pt idx="18">
                  <c:v>121.86698491500039</c:v>
                </c:pt>
                <c:pt idx="19">
                  <c:v>121.81011947654588</c:v>
                </c:pt>
                <c:pt idx="20">
                  <c:v>121.75400871043281</c:v>
                </c:pt>
                <c:pt idx="21">
                  <c:v>121.69865261666121</c:v>
                </c:pt>
                <c:pt idx="22">
                  <c:v>121.64405119523104</c:v>
                </c:pt>
                <c:pt idx="23">
                  <c:v>121.59020444614235</c:v>
                </c:pt>
                <c:pt idx="24">
                  <c:v>121.53711236939509</c:v>
                </c:pt>
                <c:pt idx="25">
                  <c:v>121.4847749649893</c:v>
                </c:pt>
                <c:pt idx="26">
                  <c:v>121.43319223292495</c:v>
                </c:pt>
                <c:pt idx="27">
                  <c:v>121.3819950272738</c:v>
                </c:pt>
                <c:pt idx="28">
                  <c:v>121.3308142021076</c:v>
                </c:pt>
                <c:pt idx="29">
                  <c:v>121.27964975742631</c:v>
                </c:pt>
                <c:pt idx="30">
                  <c:v>121.22850169322996</c:v>
                </c:pt>
                <c:pt idx="31">
                  <c:v>121.17737000951853</c:v>
                </c:pt>
                <c:pt idx="32">
                  <c:v>121.12625470629204</c:v>
                </c:pt>
                <c:pt idx="33">
                  <c:v>121.07515578355047</c:v>
                </c:pt>
                <c:pt idx="34">
                  <c:v>121.02407324129385</c:v>
                </c:pt>
                <c:pt idx="35">
                  <c:v>120.97300707952215</c:v>
                </c:pt>
                <c:pt idx="36">
                  <c:v>120.92195729823538</c:v>
                </c:pt>
                <c:pt idx="37">
                  <c:v>120.87092389743353</c:v>
                </c:pt>
                <c:pt idx="38">
                  <c:v>120.81990687711662</c:v>
                </c:pt>
                <c:pt idx="39">
                  <c:v>120.76890623728464</c:v>
                </c:pt>
                <c:pt idx="40">
                  <c:v>120.71792197793761</c:v>
                </c:pt>
                <c:pt idx="41">
                  <c:v>120.66695409907548</c:v>
                </c:pt>
                <c:pt idx="42">
                  <c:v>120.61600260069829</c:v>
                </c:pt>
                <c:pt idx="43">
                  <c:v>120.56506748280603</c:v>
                </c:pt>
                <c:pt idx="44">
                  <c:v>120.51414874539871</c:v>
                </c:pt>
                <c:pt idx="45">
                  <c:v>120.46324638847632</c:v>
                </c:pt>
                <c:pt idx="46">
                  <c:v>120.41236041203886</c:v>
                </c:pt>
                <c:pt idx="47">
                  <c:v>120.36149081608633</c:v>
                </c:pt>
                <c:pt idx="48">
                  <c:v>120.31063760061873</c:v>
                </c:pt>
                <c:pt idx="49">
                  <c:v>120.25980076563607</c:v>
                </c:pt>
                <c:pt idx="50">
                  <c:v>120.20898031113832</c:v>
                </c:pt>
                <c:pt idx="51">
                  <c:v>120.1581762371255</c:v>
                </c:pt>
                <c:pt idx="52">
                  <c:v>120.10738854359764</c:v>
                </c:pt>
                <c:pt idx="53">
                  <c:v>120.05661723055469</c:v>
                </c:pt>
                <c:pt idx="54">
                  <c:v>120.00586229799667</c:v>
                </c:pt>
                <c:pt idx="55">
                  <c:v>119.95512374592359</c:v>
                </c:pt>
                <c:pt idx="56">
                  <c:v>119.90440157433542</c:v>
                </c:pt>
                <c:pt idx="57">
                  <c:v>119.85369578323221</c:v>
                </c:pt>
                <c:pt idx="58">
                  <c:v>119.80300637261392</c:v>
                </c:pt>
                <c:pt idx="59">
                  <c:v>119.75233334248055</c:v>
                </c:pt>
                <c:pt idx="60">
                  <c:v>119.70167669283212</c:v>
                </c:pt>
                <c:pt idx="61">
                  <c:v>119.65103642366863</c:v>
                </c:pt>
                <c:pt idx="62">
                  <c:v>119.60041253499007</c:v>
                </c:pt>
                <c:pt idx="63">
                  <c:v>119.54980502679642</c:v>
                </c:pt>
                <c:pt idx="64">
                  <c:v>119.49921389908771</c:v>
                </c:pt>
                <c:pt idx="65">
                  <c:v>119.44863915186393</c:v>
                </c:pt>
                <c:pt idx="66">
                  <c:v>119.39808078512509</c:v>
                </c:pt>
                <c:pt idx="67">
                  <c:v>119.34753879887117</c:v>
                </c:pt>
                <c:pt idx="68">
                  <c:v>119.29701319310219</c:v>
                </c:pt>
                <c:pt idx="69">
                  <c:v>119.24650396781813</c:v>
                </c:pt>
                <c:pt idx="70">
                  <c:v>119.19601112301901</c:v>
                </c:pt>
                <c:pt idx="71">
                  <c:v>119.1455346587048</c:v>
                </c:pt>
                <c:pt idx="72">
                  <c:v>119.09507871310332</c:v>
                </c:pt>
                <c:pt idx="73">
                  <c:v>119.0446474244423</c:v>
                </c:pt>
                <c:pt idx="74">
                  <c:v>118.99424079272175</c:v>
                </c:pt>
                <c:pt idx="75">
                  <c:v>118.94385881794169</c:v>
                </c:pt>
                <c:pt idx="76">
                  <c:v>118.89350150010209</c:v>
                </c:pt>
                <c:pt idx="77">
                  <c:v>118.84316883920297</c:v>
                </c:pt>
                <c:pt idx="78">
                  <c:v>118.79286083524434</c:v>
                </c:pt>
                <c:pt idx="79">
                  <c:v>118.74257748822617</c:v>
                </c:pt>
                <c:pt idx="80">
                  <c:v>118.69231879814849</c:v>
                </c:pt>
                <c:pt idx="81">
                  <c:v>118.64208476501128</c:v>
                </c:pt>
                <c:pt idx="82">
                  <c:v>118.59187538881451</c:v>
                </c:pt>
                <c:pt idx="83">
                  <c:v>118.54169066955825</c:v>
                </c:pt>
                <c:pt idx="84">
                  <c:v>118.49153060724245</c:v>
                </c:pt>
                <c:pt idx="85">
                  <c:v>118.44139520186714</c:v>
                </c:pt>
                <c:pt idx="86">
                  <c:v>118.39128445343229</c:v>
                </c:pt>
                <c:pt idx="87">
                  <c:v>118.34119836193794</c:v>
                </c:pt>
                <c:pt idx="88">
                  <c:v>118.29113692738404</c:v>
                </c:pt>
                <c:pt idx="89">
                  <c:v>118.24110014977062</c:v>
                </c:pt>
                <c:pt idx="90">
                  <c:v>118.19108802909767</c:v>
                </c:pt>
                <c:pt idx="91">
                  <c:v>118.14110056536519</c:v>
                </c:pt>
                <c:pt idx="92">
                  <c:v>118.0911377585732</c:v>
                </c:pt>
                <c:pt idx="93">
                  <c:v>118.04119960872168</c:v>
                </c:pt>
                <c:pt idx="94">
                  <c:v>117.99128611581064</c:v>
                </c:pt>
                <c:pt idx="95">
                  <c:v>117.94139727984006</c:v>
                </c:pt>
                <c:pt idx="96">
                  <c:v>117.89153310080998</c:v>
                </c:pt>
                <c:pt idx="97">
                  <c:v>117.84169357872035</c:v>
                </c:pt>
                <c:pt idx="98">
                  <c:v>117.79187871357121</c:v>
                </c:pt>
                <c:pt idx="99">
                  <c:v>117.74208850536253</c:v>
                </c:pt>
                <c:pt idx="100">
                  <c:v>117.69232295409434</c:v>
                </c:pt>
                <c:pt idx="101">
                  <c:v>117.64258205976661</c:v>
                </c:pt>
                <c:pt idx="102">
                  <c:v>117.59286582237937</c:v>
                </c:pt>
                <c:pt idx="103">
                  <c:v>117.5431742419326</c:v>
                </c:pt>
                <c:pt idx="104">
                  <c:v>117.4935073184263</c:v>
                </c:pt>
                <c:pt idx="105">
                  <c:v>117.44386505186047</c:v>
                </c:pt>
                <c:pt idx="106">
                  <c:v>117.39424744223513</c:v>
                </c:pt>
                <c:pt idx="107">
                  <c:v>117.34465448955024</c:v>
                </c:pt>
                <c:pt idx="108">
                  <c:v>117.29508619380584</c:v>
                </c:pt>
                <c:pt idx="109">
                  <c:v>117.24554255500192</c:v>
                </c:pt>
                <c:pt idx="110">
                  <c:v>117.19602357313848</c:v>
                </c:pt>
                <c:pt idx="111">
                  <c:v>117.1465292482155</c:v>
                </c:pt>
                <c:pt idx="112">
                  <c:v>117.09705958023301</c:v>
                </c:pt>
                <c:pt idx="113">
                  <c:v>117.04761456919098</c:v>
                </c:pt>
                <c:pt idx="114">
                  <c:v>116.99819421508943</c:v>
                </c:pt>
                <c:pt idx="115">
                  <c:v>116.94879851792835</c:v>
                </c:pt>
                <c:pt idx="116">
                  <c:v>116.89942747770775</c:v>
                </c:pt>
                <c:pt idx="117">
                  <c:v>116.85008109442762</c:v>
                </c:pt>
                <c:pt idx="118">
                  <c:v>116.80075936808797</c:v>
                </c:pt>
                <c:pt idx="119">
                  <c:v>116.75146229868881</c:v>
                </c:pt>
                <c:pt idx="120">
                  <c:v>116.7021898862301</c:v>
                </c:pt>
                <c:pt idx="121">
                  <c:v>116.65294213071186</c:v>
                </c:pt>
                <c:pt idx="122">
                  <c:v>116.60371903213412</c:v>
                </c:pt>
                <c:pt idx="123">
                  <c:v>116.55452059049684</c:v>
                </c:pt>
                <c:pt idx="124">
                  <c:v>116.50534680580003</c:v>
                </c:pt>
                <c:pt idx="125">
                  <c:v>116.45619767804371</c:v>
                </c:pt>
                <c:pt idx="126">
                  <c:v>116.40707320722785</c:v>
                </c:pt>
                <c:pt idx="127">
                  <c:v>116.35797339335248</c:v>
                </c:pt>
                <c:pt idx="128">
                  <c:v>116.30889823641758</c:v>
                </c:pt>
                <c:pt idx="129">
                  <c:v>116.25986636068743</c:v>
                </c:pt>
                <c:pt idx="130">
                  <c:v>116.21089639042629</c:v>
                </c:pt>
                <c:pt idx="131">
                  <c:v>116.16198832563418</c:v>
                </c:pt>
                <c:pt idx="132">
                  <c:v>116.11314216631111</c:v>
                </c:pt>
                <c:pt idx="133">
                  <c:v>116.06435791245704</c:v>
                </c:pt>
                <c:pt idx="134">
                  <c:v>116.01563556407201</c:v>
                </c:pt>
                <c:pt idx="135">
                  <c:v>115.96697512115601</c:v>
                </c:pt>
                <c:pt idx="136">
                  <c:v>115.91837658370903</c:v>
                </c:pt>
                <c:pt idx="137">
                  <c:v>115.86983995173108</c:v>
                </c:pt>
                <c:pt idx="138">
                  <c:v>115.82136522522214</c:v>
                </c:pt>
                <c:pt idx="139">
                  <c:v>115.77295240418221</c:v>
                </c:pt>
                <c:pt idx="140">
                  <c:v>115.72460148861131</c:v>
                </c:pt>
                <c:pt idx="141">
                  <c:v>115.67631247850944</c:v>
                </c:pt>
                <c:pt idx="142">
                  <c:v>115.6280853738766</c:v>
                </c:pt>
                <c:pt idx="143">
                  <c:v>115.57992017471278</c:v>
                </c:pt>
                <c:pt idx="144">
                  <c:v>115.53181688101799</c:v>
                </c:pt>
                <c:pt idx="145">
                  <c:v>115.48377549279223</c:v>
                </c:pt>
                <c:pt idx="146">
                  <c:v>115.43579601003549</c:v>
                </c:pt>
                <c:pt idx="147">
                  <c:v>115.38787843274777</c:v>
                </c:pt>
                <c:pt idx="148">
                  <c:v>115.34002276092909</c:v>
                </c:pt>
                <c:pt idx="149">
                  <c:v>115.29222899457942</c:v>
                </c:pt>
                <c:pt idx="150">
                  <c:v>115.24449713369876</c:v>
                </c:pt>
                <c:pt idx="151">
                  <c:v>115.19682717828712</c:v>
                </c:pt>
                <c:pt idx="152">
                  <c:v>115.14921912834453</c:v>
                </c:pt>
                <c:pt idx="153">
                  <c:v>115.10167298387094</c:v>
                </c:pt>
                <c:pt idx="154">
                  <c:v>115.05418874486639</c:v>
                </c:pt>
                <c:pt idx="155">
                  <c:v>115.00676641133086</c:v>
                </c:pt>
                <c:pt idx="156">
                  <c:v>114.95940598326436</c:v>
                </c:pt>
                <c:pt idx="157">
                  <c:v>114.91210746066687</c:v>
                </c:pt>
                <c:pt idx="158">
                  <c:v>114.86487084353843</c:v>
                </c:pt>
                <c:pt idx="159">
                  <c:v>114.817696131879</c:v>
                </c:pt>
                <c:pt idx="160">
                  <c:v>114.77058332568859</c:v>
                </c:pt>
                <c:pt idx="161">
                  <c:v>114.72353242496722</c:v>
                </c:pt>
                <c:pt idx="162">
                  <c:v>114.67654342971487</c:v>
                </c:pt>
                <c:pt idx="163">
                  <c:v>114.62961633993153</c:v>
                </c:pt>
                <c:pt idx="164">
                  <c:v>114.5827511556172</c:v>
                </c:pt>
                <c:pt idx="165">
                  <c:v>114.53594787677191</c:v>
                </c:pt>
                <c:pt idx="166">
                  <c:v>114.48920650339565</c:v>
                </c:pt>
                <c:pt idx="167">
                  <c:v>114.44252703548841</c:v>
                </c:pt>
                <c:pt idx="168">
                  <c:v>114.3959094730502</c:v>
                </c:pt>
                <c:pt idx="169">
                  <c:v>114.34935381608101</c:v>
                </c:pt>
                <c:pt idx="170">
                  <c:v>114.30286006458084</c:v>
                </c:pt>
                <c:pt idx="171">
                  <c:v>114.2564282185497</c:v>
                </c:pt>
                <c:pt idx="172">
                  <c:v>114.2100582779876</c:v>
                </c:pt>
                <c:pt idx="173">
                  <c:v>114.16375024289451</c:v>
                </c:pt>
                <c:pt idx="174">
                  <c:v>114.11750411327044</c:v>
                </c:pt>
                <c:pt idx="175">
                  <c:v>114.07131988911539</c:v>
                </c:pt>
                <c:pt idx="176">
                  <c:v>114.02519757042936</c:v>
                </c:pt>
                <c:pt idx="177">
                  <c:v>113.97913715721236</c:v>
                </c:pt>
                <c:pt idx="178">
                  <c:v>113.93313864946438</c:v>
                </c:pt>
                <c:pt idx="179">
                  <c:v>113.88720204718543</c:v>
                </c:pt>
                <c:pt idx="180">
                  <c:v>113.84132735037551</c:v>
                </c:pt>
                <c:pt idx="181">
                  <c:v>113.7955145590346</c:v>
                </c:pt>
                <c:pt idx="182">
                  <c:v>113.74976367316273</c:v>
                </c:pt>
                <c:pt idx="183">
                  <c:v>113.70407469275987</c:v>
                </c:pt>
                <c:pt idx="184">
                  <c:v>113.65844761782606</c:v>
                </c:pt>
                <c:pt idx="185">
                  <c:v>113.61288244836126</c:v>
                </c:pt>
                <c:pt idx="186">
                  <c:v>113.56737918436548</c:v>
                </c:pt>
                <c:pt idx="187">
                  <c:v>113.52193782583872</c:v>
                </c:pt>
                <c:pt idx="188">
                  <c:v>113.47655837278099</c:v>
                </c:pt>
                <c:pt idx="189">
                  <c:v>113.43124082519226</c:v>
                </c:pt>
                <c:pt idx="190">
                  <c:v>113.38598518307258</c:v>
                </c:pt>
                <c:pt idx="191">
                  <c:v>113.34079144642192</c:v>
                </c:pt>
                <c:pt idx="192">
                  <c:v>113.29565961524028</c:v>
                </c:pt>
                <c:pt idx="193">
                  <c:v>113.25058968952767</c:v>
                </c:pt>
                <c:pt idx="194">
                  <c:v>113.20558166928409</c:v>
                </c:pt>
                <c:pt idx="195">
                  <c:v>113.16063555450953</c:v>
                </c:pt>
                <c:pt idx="196">
                  <c:v>113.11575134520399</c:v>
                </c:pt>
                <c:pt idx="197">
                  <c:v>113.07092904136748</c:v>
                </c:pt>
                <c:pt idx="198">
                  <c:v>113.02616864299999</c:v>
                </c:pt>
                <c:pt idx="199">
                  <c:v>112.98147015010153</c:v>
                </c:pt>
                <c:pt idx="200">
                  <c:v>112.93683356267208</c:v>
                </c:pt>
                <c:pt idx="201">
                  <c:v>112.89225888071165</c:v>
                </c:pt>
                <c:pt idx="202">
                  <c:v>112.84774610422026</c:v>
                </c:pt>
                <c:pt idx="203">
                  <c:v>112.80329523319789</c:v>
                </c:pt>
                <c:pt idx="204">
                  <c:v>112.75890626764453</c:v>
                </c:pt>
                <c:pt idx="205">
                  <c:v>112.71457920756021</c:v>
                </c:pt>
                <c:pt idx="206">
                  <c:v>112.67031845475705</c:v>
                </c:pt>
                <c:pt idx="207">
                  <c:v>112.62612841104718</c:v>
                </c:pt>
                <c:pt idx="208">
                  <c:v>112.58200907643058</c:v>
                </c:pt>
                <c:pt idx="209">
                  <c:v>112.53796045090726</c:v>
                </c:pt>
                <c:pt idx="210">
                  <c:v>112.49398253447723</c:v>
                </c:pt>
                <c:pt idx="211">
                  <c:v>112.45007532714048</c:v>
                </c:pt>
                <c:pt idx="212">
                  <c:v>112.40623882889702</c:v>
                </c:pt>
                <c:pt idx="213">
                  <c:v>112.36247303974686</c:v>
                </c:pt>
                <c:pt idx="214">
                  <c:v>112.31877795968997</c:v>
                </c:pt>
                <c:pt idx="215">
                  <c:v>112.27515358872635</c:v>
                </c:pt>
                <c:pt idx="216">
                  <c:v>112.23159992685603</c:v>
                </c:pt>
                <c:pt idx="217">
                  <c:v>112.18811697407899</c:v>
                </c:pt>
                <c:pt idx="218">
                  <c:v>112.14470473039523</c:v>
                </c:pt>
                <c:pt idx="219">
                  <c:v>112.10136319580477</c:v>
                </c:pt>
                <c:pt idx="220">
                  <c:v>112.05809237030759</c:v>
                </c:pt>
                <c:pt idx="221">
                  <c:v>112.01489225390368</c:v>
                </c:pt>
                <c:pt idx="222">
                  <c:v>111.97176284659307</c:v>
                </c:pt>
                <c:pt idx="223">
                  <c:v>111.92870414837574</c:v>
                </c:pt>
                <c:pt idx="224">
                  <c:v>111.88571615925169</c:v>
                </c:pt>
                <c:pt idx="225">
                  <c:v>111.84279887922094</c:v>
                </c:pt>
                <c:pt idx="226">
                  <c:v>111.79995230828347</c:v>
                </c:pt>
                <c:pt idx="227">
                  <c:v>111.75717644643927</c:v>
                </c:pt>
                <c:pt idx="228">
                  <c:v>111.71447129368836</c:v>
                </c:pt>
                <c:pt idx="229">
                  <c:v>111.67183685003073</c:v>
                </c:pt>
                <c:pt idx="230">
                  <c:v>111.62927311546639</c:v>
                </c:pt>
                <c:pt idx="231">
                  <c:v>111.58678008999533</c:v>
                </c:pt>
                <c:pt idx="232">
                  <c:v>111.54435777361756</c:v>
                </c:pt>
                <c:pt idx="233">
                  <c:v>111.50200616633309</c:v>
                </c:pt>
                <c:pt idx="234">
                  <c:v>111.45972526814188</c:v>
                </c:pt>
                <c:pt idx="235">
                  <c:v>111.41751507904397</c:v>
                </c:pt>
                <c:pt idx="236">
                  <c:v>111.37537559903933</c:v>
                </c:pt>
                <c:pt idx="237">
                  <c:v>111.33330682812797</c:v>
                </c:pt>
                <c:pt idx="238">
                  <c:v>111.29130876630992</c:v>
                </c:pt>
                <c:pt idx="239">
                  <c:v>111.24938141358516</c:v>
                </c:pt>
                <c:pt idx="240">
                  <c:v>111.20752476995366</c:v>
                </c:pt>
                <c:pt idx="241">
                  <c:v>111.16573883541545</c:v>
                </c:pt>
                <c:pt idx="242">
                  <c:v>111.12403862541504</c:v>
                </c:pt>
                <c:pt idx="243">
                  <c:v>111.08243915539695</c:v>
                </c:pt>
                <c:pt idx="244">
                  <c:v>111.0409404253612</c:v>
                </c:pt>
                <c:pt idx="245">
                  <c:v>110.99954243530776</c:v>
                </c:pt>
                <c:pt idx="246">
                  <c:v>110.95824518523665</c:v>
                </c:pt>
                <c:pt idx="247">
                  <c:v>110.91704867514785</c:v>
                </c:pt>
                <c:pt idx="248">
                  <c:v>110.87595290504139</c:v>
                </c:pt>
                <c:pt idx="249">
                  <c:v>110.83495787491725</c:v>
                </c:pt>
                <c:pt idx="250">
                  <c:v>110.79406358477544</c:v>
                </c:pt>
                <c:pt idx="251">
                  <c:v>110.75327003461597</c:v>
                </c:pt>
                <c:pt idx="252">
                  <c:v>110.7125772244388</c:v>
                </c:pt>
                <c:pt idx="253">
                  <c:v>110.67198515424397</c:v>
                </c:pt>
                <c:pt idx="254">
                  <c:v>110.63149382403147</c:v>
                </c:pt>
                <c:pt idx="255">
                  <c:v>110.59110323380128</c:v>
                </c:pt>
                <c:pt idx="256">
                  <c:v>110.55081338355342</c:v>
                </c:pt>
                <c:pt idx="257">
                  <c:v>110.51062427328787</c:v>
                </c:pt>
                <c:pt idx="258">
                  <c:v>110.47053590300466</c:v>
                </c:pt>
                <c:pt idx="259">
                  <c:v>110.43054827270376</c:v>
                </c:pt>
                <c:pt idx="260">
                  <c:v>110.39066138238519</c:v>
                </c:pt>
                <c:pt idx="261">
                  <c:v>110.35087523204895</c:v>
                </c:pt>
                <c:pt idx="262">
                  <c:v>110.31118982169502</c:v>
                </c:pt>
                <c:pt idx="263">
                  <c:v>110.27160515132341</c:v>
                </c:pt>
                <c:pt idx="264">
                  <c:v>110.23212122093415</c:v>
                </c:pt>
                <c:pt idx="265">
                  <c:v>110.19273803052718</c:v>
                </c:pt>
                <c:pt idx="266">
                  <c:v>110.15345558010256</c:v>
                </c:pt>
                <c:pt idx="267">
                  <c:v>110.11427386966027</c:v>
                </c:pt>
                <c:pt idx="268">
                  <c:v>110.0751928992003</c:v>
                </c:pt>
                <c:pt idx="269">
                  <c:v>110.03621266872265</c:v>
                </c:pt>
                <c:pt idx="270">
                  <c:v>109.99733317822734</c:v>
                </c:pt>
                <c:pt idx="271">
                  <c:v>109.95855442771433</c:v>
                </c:pt>
                <c:pt idx="272">
                  <c:v>109.91987641718366</c:v>
                </c:pt>
                <c:pt idx="273">
                  <c:v>109.88129914663531</c:v>
                </c:pt>
                <c:pt idx="274">
                  <c:v>109.84282261606928</c:v>
                </c:pt>
                <c:pt idx="275">
                  <c:v>109.80444682548558</c:v>
                </c:pt>
                <c:pt idx="276">
                  <c:v>109.7661717748842</c:v>
                </c:pt>
                <c:pt idx="277">
                  <c:v>109.72799746426514</c:v>
                </c:pt>
                <c:pt idx="278">
                  <c:v>109.68992389362842</c:v>
                </c:pt>
                <c:pt idx="279">
                  <c:v>109.65195106297401</c:v>
                </c:pt>
                <c:pt idx="280">
                  <c:v>109.61407897230191</c:v>
                </c:pt>
                <c:pt idx="281">
                  <c:v>109.57630762161214</c:v>
                </c:pt>
                <c:pt idx="282">
                  <c:v>109.53863701090471</c:v>
                </c:pt>
                <c:pt idx="283">
                  <c:v>109.50106714017959</c:v>
                </c:pt>
                <c:pt idx="284">
                  <c:v>109.46358063442243</c:v>
                </c:pt>
                <c:pt idx="285">
                  <c:v>109.42616011861884</c:v>
                </c:pt>
                <c:pt idx="286">
                  <c:v>109.38880559276883</c:v>
                </c:pt>
                <c:pt idx="287">
                  <c:v>109.35151705687241</c:v>
                </c:pt>
                <c:pt idx="288">
                  <c:v>109.31429451092957</c:v>
                </c:pt>
                <c:pt idx="289">
                  <c:v>109.2771379549403</c:v>
                </c:pt>
                <c:pt idx="290">
                  <c:v>109.24004738890461</c:v>
                </c:pt>
                <c:pt idx="291">
                  <c:v>109.2030228128225</c:v>
                </c:pt>
                <c:pt idx="292">
                  <c:v>109.16606422669396</c:v>
                </c:pt>
                <c:pt idx="293">
                  <c:v>109.12917163051901</c:v>
                </c:pt>
                <c:pt idx="294">
                  <c:v>109.09234502429764</c:v>
                </c:pt>
                <c:pt idx="295">
                  <c:v>109.05558440802983</c:v>
                </c:pt>
                <c:pt idx="296">
                  <c:v>109.0188897817156</c:v>
                </c:pt>
                <c:pt idx="297">
                  <c:v>108.98226114535497</c:v>
                </c:pt>
                <c:pt idx="298">
                  <c:v>108.94569849894791</c:v>
                </c:pt>
                <c:pt idx="299">
                  <c:v>108.90920184249443</c:v>
                </c:pt>
                <c:pt idx="300">
                  <c:v>108.87277117599452</c:v>
                </c:pt>
                <c:pt idx="301">
                  <c:v>108.83640649944817</c:v>
                </c:pt>
                <c:pt idx="302">
                  <c:v>108.80010781285543</c:v>
                </c:pt>
                <c:pt idx="303">
                  <c:v>108.76387511621627</c:v>
                </c:pt>
                <c:pt idx="304">
                  <c:v>108.72770840953068</c:v>
                </c:pt>
                <c:pt idx="305">
                  <c:v>108.69160769279866</c:v>
                </c:pt>
                <c:pt idx="306">
                  <c:v>108.65557296602022</c:v>
                </c:pt>
                <c:pt idx="307">
                  <c:v>108.61960422919536</c:v>
                </c:pt>
                <c:pt idx="308">
                  <c:v>108.58370148232409</c:v>
                </c:pt>
                <c:pt idx="309">
                  <c:v>108.54786472540638</c:v>
                </c:pt>
                <c:pt idx="310">
                  <c:v>108.51209395844225</c:v>
                </c:pt>
                <c:pt idx="311">
                  <c:v>108.4763891814317</c:v>
                </c:pt>
                <c:pt idx="312">
                  <c:v>108.44075039437473</c:v>
                </c:pt>
                <c:pt idx="313">
                  <c:v>108.40517759727135</c:v>
                </c:pt>
                <c:pt idx="314">
                  <c:v>108.36967079012155</c:v>
                </c:pt>
                <c:pt idx="315">
                  <c:v>108.3342299729253</c:v>
                </c:pt>
                <c:pt idx="316">
                  <c:v>108.29885514568265</c:v>
                </c:pt>
                <c:pt idx="317">
                  <c:v>108.26354630839357</c:v>
                </c:pt>
                <c:pt idx="318">
                  <c:v>108.22830346105808</c:v>
                </c:pt>
                <c:pt idx="319">
                  <c:v>108.19312660367616</c:v>
                </c:pt>
                <c:pt idx="320">
                  <c:v>108.15801573624782</c:v>
                </c:pt>
                <c:pt idx="321">
                  <c:v>108.12297085877304</c:v>
                </c:pt>
                <c:pt idx="322">
                  <c:v>108.08799197125187</c:v>
                </c:pt>
                <c:pt idx="323">
                  <c:v>108.05307907368427</c:v>
                </c:pt>
                <c:pt idx="324">
                  <c:v>108.01823216607023</c:v>
                </c:pt>
                <c:pt idx="325">
                  <c:v>107.98345124840979</c:v>
                </c:pt>
                <c:pt idx="326">
                  <c:v>107.94873526767174</c:v>
                </c:pt>
                <c:pt idx="327">
                  <c:v>107.91408317082491</c:v>
                </c:pt>
                <c:pt idx="328">
                  <c:v>107.87949495786934</c:v>
                </c:pt>
                <c:pt idx="329">
                  <c:v>107.84497062880499</c:v>
                </c:pt>
                <c:pt idx="330">
                  <c:v>107.81051018363186</c:v>
                </c:pt>
                <c:pt idx="331">
                  <c:v>107.77611362234998</c:v>
                </c:pt>
                <c:pt idx="332">
                  <c:v>107.74178094495932</c:v>
                </c:pt>
                <c:pt idx="333">
                  <c:v>107.70751215145988</c:v>
                </c:pt>
                <c:pt idx="334">
                  <c:v>107.67330724185167</c:v>
                </c:pt>
                <c:pt idx="335">
                  <c:v>107.6391662161347</c:v>
                </c:pt>
                <c:pt idx="336">
                  <c:v>107.60508907430895</c:v>
                </c:pt>
                <c:pt idx="337">
                  <c:v>107.57107581637443</c:v>
                </c:pt>
                <c:pt idx="338">
                  <c:v>107.53712644233114</c:v>
                </c:pt>
                <c:pt idx="339">
                  <c:v>107.50324095217907</c:v>
                </c:pt>
                <c:pt idx="340">
                  <c:v>107.46941934591825</c:v>
                </c:pt>
                <c:pt idx="341">
                  <c:v>107.43566162354867</c:v>
                </c:pt>
                <c:pt idx="342">
                  <c:v>107.40196778507031</c:v>
                </c:pt>
                <c:pt idx="343">
                  <c:v>107.36833783048318</c:v>
                </c:pt>
                <c:pt idx="344">
                  <c:v>107.33477175978727</c:v>
                </c:pt>
                <c:pt idx="345">
                  <c:v>107.3012695729826</c:v>
                </c:pt>
                <c:pt idx="346">
                  <c:v>107.26783127006915</c:v>
                </c:pt>
                <c:pt idx="347">
                  <c:v>107.23445685104694</c:v>
                </c:pt>
                <c:pt idx="348">
                  <c:v>107.20114631591595</c:v>
                </c:pt>
                <c:pt idx="349">
                  <c:v>107.1678996646762</c:v>
                </c:pt>
                <c:pt idx="350">
                  <c:v>107.13471689732766</c:v>
                </c:pt>
                <c:pt idx="351">
                  <c:v>107.10159801387037</c:v>
                </c:pt>
                <c:pt idx="352">
                  <c:v>107.06854301430432</c:v>
                </c:pt>
                <c:pt idx="353">
                  <c:v>107.03555189862949</c:v>
                </c:pt>
                <c:pt idx="354">
                  <c:v>107.00262466684589</c:v>
                </c:pt>
                <c:pt idx="355">
                  <c:v>106.96976131895352</c:v>
                </c:pt>
                <c:pt idx="356">
                  <c:v>106.93696185495237</c:v>
                </c:pt>
                <c:pt idx="357">
                  <c:v>106.90422627484246</c:v>
                </c:pt>
                <c:pt idx="358">
                  <c:v>106.87155457862377</c:v>
                </c:pt>
                <c:pt idx="359">
                  <c:v>106.83894676629632</c:v>
                </c:pt>
                <c:pt idx="360">
                  <c:v>106.80640283786009</c:v>
                </c:pt>
                <c:pt idx="361">
                  <c:v>106.77392279331509</c:v>
                </c:pt>
                <c:pt idx="362">
                  <c:v>106.74150663266131</c:v>
                </c:pt>
                <c:pt idx="363">
                  <c:v>106.70915435589879</c:v>
                </c:pt>
                <c:pt idx="364">
                  <c:v>106.6768659630275</c:v>
                </c:pt>
                <c:pt idx="365">
                  <c:v>106.64464145404743</c:v>
                </c:pt>
                <c:pt idx="366">
                  <c:v>106.61245445637785</c:v>
                </c:pt>
                <c:pt idx="367">
                  <c:v>106.58027859743802</c:v>
                </c:pt>
                <c:pt idx="368">
                  <c:v>106.54811387722793</c:v>
                </c:pt>
                <c:pt idx="369">
                  <c:v>106.51596029574762</c:v>
                </c:pt>
                <c:pt idx="370">
                  <c:v>106.48381785299705</c:v>
                </c:pt>
                <c:pt idx="371">
                  <c:v>106.45168654897623</c:v>
                </c:pt>
                <c:pt idx="372">
                  <c:v>106.41956638368517</c:v>
                </c:pt>
                <c:pt idx="373">
                  <c:v>106.38745735712386</c:v>
                </c:pt>
                <c:pt idx="374">
                  <c:v>106.3553594692923</c:v>
                </c:pt>
                <c:pt idx="375">
                  <c:v>106.3232727201905</c:v>
                </c:pt>
                <c:pt idx="376">
                  <c:v>106.29119710981844</c:v>
                </c:pt>
                <c:pt idx="377">
                  <c:v>106.25913263817614</c:v>
                </c:pt>
                <c:pt idx="378">
                  <c:v>106.22707930526359</c:v>
                </c:pt>
                <c:pt idx="379">
                  <c:v>106.19503711108079</c:v>
                </c:pt>
                <c:pt idx="380">
                  <c:v>106.16300605562775</c:v>
                </c:pt>
                <c:pt idx="381">
                  <c:v>106.1310144771434</c:v>
                </c:pt>
                <c:pt idx="382">
                  <c:v>106.09909071386666</c:v>
                </c:pt>
                <c:pt idx="383">
                  <c:v>106.06723476579752</c:v>
                </c:pt>
                <c:pt idx="384">
                  <c:v>106.035446632936</c:v>
                </c:pt>
                <c:pt idx="385">
                  <c:v>106.00372631528209</c:v>
                </c:pt>
                <c:pt idx="386">
                  <c:v>105.9720738128358</c:v>
                </c:pt>
                <c:pt idx="387">
                  <c:v>105.94048912559713</c:v>
                </c:pt>
                <c:pt idx="388">
                  <c:v>105.90897225356608</c:v>
                </c:pt>
                <c:pt idx="389">
                  <c:v>105.87752319674262</c:v>
                </c:pt>
                <c:pt idx="390">
                  <c:v>105.84614195512677</c:v>
                </c:pt>
                <c:pt idx="391">
                  <c:v>105.81482852871855</c:v>
                </c:pt>
                <c:pt idx="392">
                  <c:v>105.78358291751793</c:v>
                </c:pt>
                <c:pt idx="393">
                  <c:v>105.75240512152494</c:v>
                </c:pt>
                <c:pt idx="394">
                  <c:v>105.72129514073956</c:v>
                </c:pt>
                <c:pt idx="395">
                  <c:v>105.6902529751618</c:v>
                </c:pt>
                <c:pt idx="396">
                  <c:v>105.65927862479164</c:v>
                </c:pt>
                <c:pt idx="397">
                  <c:v>105.6283720896291</c:v>
                </c:pt>
                <c:pt idx="398">
                  <c:v>105.59753336967417</c:v>
                </c:pt>
                <c:pt idx="399">
                  <c:v>105.56676246492684</c:v>
                </c:pt>
                <c:pt idx="400">
                  <c:v>105.53605937538714</c:v>
                </c:pt>
                <c:pt idx="401">
                  <c:v>105.50544621470971</c:v>
                </c:pt>
                <c:pt idx="402">
                  <c:v>105.47494509654919</c:v>
                </c:pt>
                <c:pt idx="403">
                  <c:v>105.44455602090562</c:v>
                </c:pt>
                <c:pt idx="404">
                  <c:v>105.41427898777897</c:v>
                </c:pt>
                <c:pt idx="405">
                  <c:v>105.38411399716925</c:v>
                </c:pt>
                <c:pt idx="406">
                  <c:v>105.35406104907645</c:v>
                </c:pt>
                <c:pt idx="407">
                  <c:v>105.32412014350056</c:v>
                </c:pt>
                <c:pt idx="408">
                  <c:v>105.29429128044163</c:v>
                </c:pt>
                <c:pt idx="409">
                  <c:v>105.26457445989961</c:v>
                </c:pt>
                <c:pt idx="410">
                  <c:v>105.2349696818745</c:v>
                </c:pt>
                <c:pt idx="411">
                  <c:v>105.20559865336938</c:v>
                </c:pt>
                <c:pt idx="412">
                  <c:v>105.17658308138725</c:v>
                </c:pt>
                <c:pt idx="413">
                  <c:v>105.14792296592812</c:v>
                </c:pt>
                <c:pt idx="414">
                  <c:v>105.11961830699198</c:v>
                </c:pt>
                <c:pt idx="415">
                  <c:v>105.09166910457883</c:v>
                </c:pt>
                <c:pt idx="416">
                  <c:v>105.06407535868868</c:v>
                </c:pt>
                <c:pt idx="417">
                  <c:v>105.03683706932154</c:v>
                </c:pt>
                <c:pt idx="418">
                  <c:v>105.00995423647738</c:v>
                </c:pt>
                <c:pt idx="419">
                  <c:v>104.98342686015623</c:v>
                </c:pt>
                <c:pt idx="420">
                  <c:v>104.95732394315084</c:v>
                </c:pt>
                <c:pt idx="421">
                  <c:v>104.931714488254</c:v>
                </c:pt>
                <c:pt idx="422">
                  <c:v>104.9065984954657</c:v>
                </c:pt>
                <c:pt idx="423">
                  <c:v>104.88197596478592</c:v>
                </c:pt>
                <c:pt idx="424">
                  <c:v>104.85784689621471</c:v>
                </c:pt>
                <c:pt idx="425">
                  <c:v>104.83421128975202</c:v>
                </c:pt>
                <c:pt idx="426">
                  <c:v>104.81106914539787</c:v>
                </c:pt>
                <c:pt idx="427">
                  <c:v>104.78842046315226</c:v>
                </c:pt>
                <c:pt idx="428">
                  <c:v>104.7662652430152</c:v>
                </c:pt>
                <c:pt idx="429">
                  <c:v>104.74460348498668</c:v>
                </c:pt>
                <c:pt idx="430">
                  <c:v>104.72343518906669</c:v>
                </c:pt>
                <c:pt idx="431">
                  <c:v>104.70276035525525</c:v>
                </c:pt>
                <c:pt idx="432">
                  <c:v>104.68268975658169</c:v>
                </c:pt>
                <c:pt idx="433">
                  <c:v>104.66333416607536</c:v>
                </c:pt>
                <c:pt idx="434">
                  <c:v>104.64469358373624</c:v>
                </c:pt>
                <c:pt idx="435">
                  <c:v>104.62676800956437</c:v>
                </c:pt>
                <c:pt idx="436">
                  <c:v>104.60955744355972</c:v>
                </c:pt>
                <c:pt idx="437">
                  <c:v>104.59306188572231</c:v>
                </c:pt>
                <c:pt idx="438">
                  <c:v>104.57728133605211</c:v>
                </c:pt>
                <c:pt idx="439">
                  <c:v>104.56221579454915</c:v>
                </c:pt>
                <c:pt idx="440">
                  <c:v>104.54786526121342</c:v>
                </c:pt>
                <c:pt idx="441">
                  <c:v>104.53422973604491</c:v>
                </c:pt>
                <c:pt idx="442">
                  <c:v>104.5212420962838</c:v>
                </c:pt>
                <c:pt idx="443">
                  <c:v>104.50883521917022</c:v>
                </c:pt>
                <c:pt idx="444">
                  <c:v>104.49700910470419</c:v>
                </c:pt>
                <c:pt idx="445">
                  <c:v>104.48576375288572</c:v>
                </c:pt>
                <c:pt idx="446">
                  <c:v>104.47509916371479</c:v>
                </c:pt>
                <c:pt idx="447">
                  <c:v>104.46501533719139</c:v>
                </c:pt>
                <c:pt idx="448">
                  <c:v>104.45551227331553</c:v>
                </c:pt>
                <c:pt idx="449">
                  <c:v>104.44658997208725</c:v>
                </c:pt>
                <c:pt idx="450">
                  <c:v>104.43824843350649</c:v>
                </c:pt>
                <c:pt idx="451">
                  <c:v>104.43048765757328</c:v>
                </c:pt>
                <c:pt idx="452">
                  <c:v>104.42330764428762</c:v>
                </c:pt>
                <c:pt idx="453">
                  <c:v>104.41661242820625</c:v>
                </c:pt>
                <c:pt idx="454">
                  <c:v>104.41030604388592</c:v>
                </c:pt>
                <c:pt idx="455">
                  <c:v>104.40438849132664</c:v>
                </c:pt>
                <c:pt idx="456">
                  <c:v>104.39885977052842</c:v>
                </c:pt>
                <c:pt idx="457">
                  <c:v>104.39371988149124</c:v>
                </c:pt>
                <c:pt idx="458">
                  <c:v>104.3889688242151</c:v>
                </c:pt>
                <c:pt idx="459">
                  <c:v>104.3846065987</c:v>
                </c:pt>
                <c:pt idx="460">
                  <c:v>104.38063320494594</c:v>
                </c:pt>
                <c:pt idx="461">
                  <c:v>104.37696233827295</c:v>
                </c:pt>
                <c:pt idx="462">
                  <c:v>104.37350769400103</c:v>
                </c:pt>
                <c:pt idx="463">
                  <c:v>104.37026927213022</c:v>
                </c:pt>
                <c:pt idx="464">
                  <c:v>104.36724707266048</c:v>
                </c:pt>
                <c:pt idx="465">
                  <c:v>104.36444109559184</c:v>
                </c:pt>
                <c:pt idx="466">
                  <c:v>104.3619238245701</c:v>
                </c:pt>
                <c:pt idx="467">
                  <c:v>104.35976774324109</c:v>
                </c:pt>
                <c:pt idx="468">
                  <c:v>104.35877999999975</c:v>
                </c:pt>
                <c:pt idx="469">
                  <c:v>104.35877999999975</c:v>
                </c:pt>
                <c:pt idx="470">
                  <c:v>104.35877999999975</c:v>
                </c:pt>
                <c:pt idx="471">
                  <c:v>104.35877999999975</c:v>
                </c:pt>
                <c:pt idx="472">
                  <c:v>104.35877999999975</c:v>
                </c:pt>
                <c:pt idx="473">
                  <c:v>104.35877999999975</c:v>
                </c:pt>
                <c:pt idx="474">
                  <c:v>104.35877999999975</c:v>
                </c:pt>
                <c:pt idx="475">
                  <c:v>104.35877999999975</c:v>
                </c:pt>
                <c:pt idx="476">
                  <c:v>104.35877999999975</c:v>
                </c:pt>
                <c:pt idx="477">
                  <c:v>104.35877999999975</c:v>
                </c:pt>
                <c:pt idx="478">
                  <c:v>104.35877999999975</c:v>
                </c:pt>
                <c:pt idx="479">
                  <c:v>104.35877999999975</c:v>
                </c:pt>
                <c:pt idx="480">
                  <c:v>104.35877999999975</c:v>
                </c:pt>
                <c:pt idx="481">
                  <c:v>104.35877999999975</c:v>
                </c:pt>
                <c:pt idx="482">
                  <c:v>104.35877999999975</c:v>
                </c:pt>
                <c:pt idx="483">
                  <c:v>104.35877999999975</c:v>
                </c:pt>
                <c:pt idx="484">
                  <c:v>104.35877999999975</c:v>
                </c:pt>
                <c:pt idx="485">
                  <c:v>104.35877999999975</c:v>
                </c:pt>
                <c:pt idx="486">
                  <c:v>104.35877999999975</c:v>
                </c:pt>
                <c:pt idx="487">
                  <c:v>104.35877999999975</c:v>
                </c:pt>
                <c:pt idx="488">
                  <c:v>104.35877999999975</c:v>
                </c:pt>
                <c:pt idx="489">
                  <c:v>104.35877999999975</c:v>
                </c:pt>
                <c:pt idx="490">
                  <c:v>104.35877999999975</c:v>
                </c:pt>
                <c:pt idx="491">
                  <c:v>104.35877999999975</c:v>
                </c:pt>
                <c:pt idx="492">
                  <c:v>104.35877999999975</c:v>
                </c:pt>
                <c:pt idx="493">
                  <c:v>104.35877999999975</c:v>
                </c:pt>
                <c:pt idx="494">
                  <c:v>104.35877999999975</c:v>
                </c:pt>
                <c:pt idx="495">
                  <c:v>104.35877999999975</c:v>
                </c:pt>
                <c:pt idx="496">
                  <c:v>104.35877999999975</c:v>
                </c:pt>
                <c:pt idx="497">
                  <c:v>104.35877999999975</c:v>
                </c:pt>
                <c:pt idx="498">
                  <c:v>104.35877999999975</c:v>
                </c:pt>
                <c:pt idx="499">
                  <c:v>104.35877999999975</c:v>
                </c:pt>
                <c:pt idx="500">
                  <c:v>104.35877999999975</c:v>
                </c:pt>
                <c:pt idx="501">
                  <c:v>104.35877999999975</c:v>
                </c:pt>
                <c:pt idx="502">
                  <c:v>104.35877999999975</c:v>
                </c:pt>
                <c:pt idx="503">
                  <c:v>104.35877999999975</c:v>
                </c:pt>
                <c:pt idx="504">
                  <c:v>104.35877999999975</c:v>
                </c:pt>
                <c:pt idx="505">
                  <c:v>104.35877999999975</c:v>
                </c:pt>
                <c:pt idx="506">
                  <c:v>104.35877999999975</c:v>
                </c:pt>
                <c:pt idx="507">
                  <c:v>104.35877999999975</c:v>
                </c:pt>
                <c:pt idx="508">
                  <c:v>104.35877999999975</c:v>
                </c:pt>
                <c:pt idx="509">
                  <c:v>104.35877999999975</c:v>
                </c:pt>
                <c:pt idx="510">
                  <c:v>104.35877999999975</c:v>
                </c:pt>
                <c:pt idx="511">
                  <c:v>104.35877999999975</c:v>
                </c:pt>
                <c:pt idx="512">
                  <c:v>104.35877999999975</c:v>
                </c:pt>
                <c:pt idx="513">
                  <c:v>104.35877999999975</c:v>
                </c:pt>
                <c:pt idx="514">
                  <c:v>104.35877999999975</c:v>
                </c:pt>
                <c:pt idx="515">
                  <c:v>104.35877999999975</c:v>
                </c:pt>
                <c:pt idx="516">
                  <c:v>104.35877999999975</c:v>
                </c:pt>
                <c:pt idx="517">
                  <c:v>104.35877999999975</c:v>
                </c:pt>
                <c:pt idx="518">
                  <c:v>104.35877999999975</c:v>
                </c:pt>
                <c:pt idx="519">
                  <c:v>104.35877999999975</c:v>
                </c:pt>
                <c:pt idx="520">
                  <c:v>104.35877999999975</c:v>
                </c:pt>
                <c:pt idx="521">
                  <c:v>104.35877999999975</c:v>
                </c:pt>
                <c:pt idx="522">
                  <c:v>104.35877999999975</c:v>
                </c:pt>
                <c:pt idx="523">
                  <c:v>104.35877999999975</c:v>
                </c:pt>
                <c:pt idx="524">
                  <c:v>104.35877999999975</c:v>
                </c:pt>
                <c:pt idx="525">
                  <c:v>104.35877999999975</c:v>
                </c:pt>
                <c:pt idx="526">
                  <c:v>104.35877999999975</c:v>
                </c:pt>
                <c:pt idx="527">
                  <c:v>104.35877999999975</c:v>
                </c:pt>
                <c:pt idx="528">
                  <c:v>104.35877999999975</c:v>
                </c:pt>
                <c:pt idx="529">
                  <c:v>104.35877999999975</c:v>
                </c:pt>
                <c:pt idx="530">
                  <c:v>104.35877999999975</c:v>
                </c:pt>
                <c:pt idx="531">
                  <c:v>104.35877999999975</c:v>
                </c:pt>
                <c:pt idx="532">
                  <c:v>104.35877999999975</c:v>
                </c:pt>
                <c:pt idx="533">
                  <c:v>104.35877999999975</c:v>
                </c:pt>
                <c:pt idx="534">
                  <c:v>104.35877999999975</c:v>
                </c:pt>
                <c:pt idx="535">
                  <c:v>104.35877999999975</c:v>
                </c:pt>
                <c:pt idx="536">
                  <c:v>104.35877999999975</c:v>
                </c:pt>
                <c:pt idx="537">
                  <c:v>104.35877999999975</c:v>
                </c:pt>
                <c:pt idx="538">
                  <c:v>104.35877999999975</c:v>
                </c:pt>
                <c:pt idx="539">
                  <c:v>104.35877999999975</c:v>
                </c:pt>
                <c:pt idx="540">
                  <c:v>104.35877999999975</c:v>
                </c:pt>
                <c:pt idx="541">
                  <c:v>104.35877999999975</c:v>
                </c:pt>
                <c:pt idx="542">
                  <c:v>104.35877999999975</c:v>
                </c:pt>
                <c:pt idx="543">
                  <c:v>104.35877999999975</c:v>
                </c:pt>
                <c:pt idx="544">
                  <c:v>104.35877999999975</c:v>
                </c:pt>
                <c:pt idx="545">
                  <c:v>104.35877999999975</c:v>
                </c:pt>
                <c:pt idx="546">
                  <c:v>104.35877999999975</c:v>
                </c:pt>
                <c:pt idx="547">
                  <c:v>104.35877999999975</c:v>
                </c:pt>
                <c:pt idx="548">
                  <c:v>104.35877999999975</c:v>
                </c:pt>
                <c:pt idx="549">
                  <c:v>104.35877999999975</c:v>
                </c:pt>
                <c:pt idx="550">
                  <c:v>104.35877999999975</c:v>
                </c:pt>
                <c:pt idx="551">
                  <c:v>104.35877999999975</c:v>
                </c:pt>
                <c:pt idx="552">
                  <c:v>104.35877999999975</c:v>
                </c:pt>
                <c:pt idx="553">
                  <c:v>104.35877999999975</c:v>
                </c:pt>
                <c:pt idx="554">
                  <c:v>104.35877999999975</c:v>
                </c:pt>
                <c:pt idx="555">
                  <c:v>104.35877999999975</c:v>
                </c:pt>
                <c:pt idx="556">
                  <c:v>104.35877999999975</c:v>
                </c:pt>
                <c:pt idx="557">
                  <c:v>104.35877999999975</c:v>
                </c:pt>
                <c:pt idx="558">
                  <c:v>104.35877999999975</c:v>
                </c:pt>
                <c:pt idx="559">
                  <c:v>104.35877999999975</c:v>
                </c:pt>
                <c:pt idx="560">
                  <c:v>104.35877999999975</c:v>
                </c:pt>
                <c:pt idx="561">
                  <c:v>104.35877999999975</c:v>
                </c:pt>
                <c:pt idx="562">
                  <c:v>104.35877999999975</c:v>
                </c:pt>
                <c:pt idx="563">
                  <c:v>104.35877999999975</c:v>
                </c:pt>
                <c:pt idx="564">
                  <c:v>104.35877999999975</c:v>
                </c:pt>
                <c:pt idx="565">
                  <c:v>104.35877999999975</c:v>
                </c:pt>
                <c:pt idx="566">
                  <c:v>104.35877999999975</c:v>
                </c:pt>
                <c:pt idx="567">
                  <c:v>104.35877999999975</c:v>
                </c:pt>
                <c:pt idx="568">
                  <c:v>104.35877999999975</c:v>
                </c:pt>
                <c:pt idx="569">
                  <c:v>104.35877999999975</c:v>
                </c:pt>
                <c:pt idx="570">
                  <c:v>104.35877999999975</c:v>
                </c:pt>
                <c:pt idx="571">
                  <c:v>104.35877999999975</c:v>
                </c:pt>
                <c:pt idx="572">
                  <c:v>104.35877999999975</c:v>
                </c:pt>
                <c:pt idx="573">
                  <c:v>104.35877999999975</c:v>
                </c:pt>
                <c:pt idx="574">
                  <c:v>104.35877999999975</c:v>
                </c:pt>
                <c:pt idx="575">
                  <c:v>104.35877999999975</c:v>
                </c:pt>
                <c:pt idx="576">
                  <c:v>104.35877999999975</c:v>
                </c:pt>
                <c:pt idx="577">
                  <c:v>104.35877999999975</c:v>
                </c:pt>
                <c:pt idx="578">
                  <c:v>104.35877999999975</c:v>
                </c:pt>
                <c:pt idx="579">
                  <c:v>104.35877999999975</c:v>
                </c:pt>
                <c:pt idx="580">
                  <c:v>104.35877999999975</c:v>
                </c:pt>
                <c:pt idx="581">
                  <c:v>104.35877999999975</c:v>
                </c:pt>
                <c:pt idx="582">
                  <c:v>104.35877999999975</c:v>
                </c:pt>
                <c:pt idx="583">
                  <c:v>104.35877999999975</c:v>
                </c:pt>
                <c:pt idx="584">
                  <c:v>104.35877999999975</c:v>
                </c:pt>
                <c:pt idx="585">
                  <c:v>104.35877999999975</c:v>
                </c:pt>
                <c:pt idx="586">
                  <c:v>104.35877999999975</c:v>
                </c:pt>
                <c:pt idx="587">
                  <c:v>104.35877999999975</c:v>
                </c:pt>
                <c:pt idx="588">
                  <c:v>104.35877999999975</c:v>
                </c:pt>
                <c:pt idx="589">
                  <c:v>104.35877999999975</c:v>
                </c:pt>
                <c:pt idx="590">
                  <c:v>104.35877999999975</c:v>
                </c:pt>
                <c:pt idx="591">
                  <c:v>104.35877999999975</c:v>
                </c:pt>
                <c:pt idx="592">
                  <c:v>104.35877999999975</c:v>
                </c:pt>
                <c:pt idx="593">
                  <c:v>104.35877999999975</c:v>
                </c:pt>
                <c:pt idx="594">
                  <c:v>104.35877999999975</c:v>
                </c:pt>
                <c:pt idx="595">
                  <c:v>104.35877999999975</c:v>
                </c:pt>
                <c:pt idx="596">
                  <c:v>104.35877999999975</c:v>
                </c:pt>
                <c:pt idx="597">
                  <c:v>104.35877999999975</c:v>
                </c:pt>
                <c:pt idx="598">
                  <c:v>104.35877999999975</c:v>
                </c:pt>
                <c:pt idx="599">
                  <c:v>104.35877999999975</c:v>
                </c:pt>
                <c:pt idx="600">
                  <c:v>104.35877999999975</c:v>
                </c:pt>
                <c:pt idx="601">
                  <c:v>104.35877999999975</c:v>
                </c:pt>
                <c:pt idx="602">
                  <c:v>104.35877999999975</c:v>
                </c:pt>
                <c:pt idx="603">
                  <c:v>104.35877999999975</c:v>
                </c:pt>
                <c:pt idx="604">
                  <c:v>104.35877999999975</c:v>
                </c:pt>
                <c:pt idx="605">
                  <c:v>104.35877999999975</c:v>
                </c:pt>
                <c:pt idx="606">
                  <c:v>104.35877999999975</c:v>
                </c:pt>
                <c:pt idx="607">
                  <c:v>104.35877999999975</c:v>
                </c:pt>
                <c:pt idx="608">
                  <c:v>104.35877999999975</c:v>
                </c:pt>
                <c:pt idx="609">
                  <c:v>104.35877999999975</c:v>
                </c:pt>
                <c:pt idx="610">
                  <c:v>104.35877999999975</c:v>
                </c:pt>
                <c:pt idx="611">
                  <c:v>104.35877999999975</c:v>
                </c:pt>
                <c:pt idx="612">
                  <c:v>104.35877999999975</c:v>
                </c:pt>
                <c:pt idx="613">
                  <c:v>104.35877999999975</c:v>
                </c:pt>
                <c:pt idx="614">
                  <c:v>104.35877999999975</c:v>
                </c:pt>
                <c:pt idx="615">
                  <c:v>104.35877999999975</c:v>
                </c:pt>
                <c:pt idx="616">
                  <c:v>104.35877999999975</c:v>
                </c:pt>
                <c:pt idx="617">
                  <c:v>104.35877999999975</c:v>
                </c:pt>
                <c:pt idx="618">
                  <c:v>104.35877999999975</c:v>
                </c:pt>
                <c:pt idx="619">
                  <c:v>104.35877999999975</c:v>
                </c:pt>
                <c:pt idx="620">
                  <c:v>104.35877999999975</c:v>
                </c:pt>
                <c:pt idx="621">
                  <c:v>104.35877999999975</c:v>
                </c:pt>
                <c:pt idx="622">
                  <c:v>104.35877999999975</c:v>
                </c:pt>
                <c:pt idx="623">
                  <c:v>104.35877999999975</c:v>
                </c:pt>
                <c:pt idx="624">
                  <c:v>104.35877999999975</c:v>
                </c:pt>
                <c:pt idx="625">
                  <c:v>104.35877999999975</c:v>
                </c:pt>
                <c:pt idx="626">
                  <c:v>104.35877999999975</c:v>
                </c:pt>
                <c:pt idx="627">
                  <c:v>104.35877999999975</c:v>
                </c:pt>
                <c:pt idx="628">
                  <c:v>104.35877999999975</c:v>
                </c:pt>
                <c:pt idx="629">
                  <c:v>104.35877999999975</c:v>
                </c:pt>
                <c:pt idx="630">
                  <c:v>104.35877999999975</c:v>
                </c:pt>
                <c:pt idx="631">
                  <c:v>104.35877999999975</c:v>
                </c:pt>
                <c:pt idx="632">
                  <c:v>104.35877999999975</c:v>
                </c:pt>
                <c:pt idx="633">
                  <c:v>104.35877999999975</c:v>
                </c:pt>
                <c:pt idx="634">
                  <c:v>104.35877999999975</c:v>
                </c:pt>
                <c:pt idx="635">
                  <c:v>104.35877999999975</c:v>
                </c:pt>
                <c:pt idx="636">
                  <c:v>104.35877999999975</c:v>
                </c:pt>
                <c:pt idx="637">
                  <c:v>104.35877999999975</c:v>
                </c:pt>
                <c:pt idx="638">
                  <c:v>104.35877999999975</c:v>
                </c:pt>
                <c:pt idx="639">
                  <c:v>104.35877999999975</c:v>
                </c:pt>
                <c:pt idx="640">
                  <c:v>104.35877999999975</c:v>
                </c:pt>
                <c:pt idx="641">
                  <c:v>104.35877999999975</c:v>
                </c:pt>
                <c:pt idx="642">
                  <c:v>104.35877999999975</c:v>
                </c:pt>
                <c:pt idx="643">
                  <c:v>104.35877999999975</c:v>
                </c:pt>
                <c:pt idx="644">
                  <c:v>104.35877999999975</c:v>
                </c:pt>
                <c:pt idx="645">
                  <c:v>104.35877999999975</c:v>
                </c:pt>
                <c:pt idx="646">
                  <c:v>104.35877999999975</c:v>
                </c:pt>
                <c:pt idx="647">
                  <c:v>104.35877999999975</c:v>
                </c:pt>
                <c:pt idx="648">
                  <c:v>104.35877999999975</c:v>
                </c:pt>
                <c:pt idx="649">
                  <c:v>104.35877999999975</c:v>
                </c:pt>
                <c:pt idx="650">
                  <c:v>104.35877999999975</c:v>
                </c:pt>
                <c:pt idx="651">
                  <c:v>104.35877999999975</c:v>
                </c:pt>
                <c:pt idx="652">
                  <c:v>104.35877999999975</c:v>
                </c:pt>
                <c:pt idx="653">
                  <c:v>104.35877999999975</c:v>
                </c:pt>
                <c:pt idx="654">
                  <c:v>104.35877999999975</c:v>
                </c:pt>
                <c:pt idx="655">
                  <c:v>104.35877999999975</c:v>
                </c:pt>
                <c:pt idx="656">
                  <c:v>104.35877999999975</c:v>
                </c:pt>
                <c:pt idx="657">
                  <c:v>104.35877999999975</c:v>
                </c:pt>
                <c:pt idx="658">
                  <c:v>104.35877999999975</c:v>
                </c:pt>
                <c:pt idx="659">
                  <c:v>104.35877999999975</c:v>
                </c:pt>
                <c:pt idx="660">
                  <c:v>104.35877999999975</c:v>
                </c:pt>
                <c:pt idx="661">
                  <c:v>104.35877999999975</c:v>
                </c:pt>
                <c:pt idx="662">
                  <c:v>104.35877999999975</c:v>
                </c:pt>
                <c:pt idx="663">
                  <c:v>104.35877999999975</c:v>
                </c:pt>
                <c:pt idx="664">
                  <c:v>104.35877999999975</c:v>
                </c:pt>
                <c:pt idx="665">
                  <c:v>104.35877999999975</c:v>
                </c:pt>
                <c:pt idx="666">
                  <c:v>104.35877999999975</c:v>
                </c:pt>
                <c:pt idx="667">
                  <c:v>104.35877999999975</c:v>
                </c:pt>
                <c:pt idx="668">
                  <c:v>104.35877999999975</c:v>
                </c:pt>
                <c:pt idx="669">
                  <c:v>104.35877999999975</c:v>
                </c:pt>
                <c:pt idx="670">
                  <c:v>104.35877999999975</c:v>
                </c:pt>
                <c:pt idx="671">
                  <c:v>104.35877999999975</c:v>
                </c:pt>
                <c:pt idx="672">
                  <c:v>104.35877999999975</c:v>
                </c:pt>
                <c:pt idx="673">
                  <c:v>104.35877999999975</c:v>
                </c:pt>
                <c:pt idx="674">
                  <c:v>104.35877999999975</c:v>
                </c:pt>
                <c:pt idx="675">
                  <c:v>104.35877999999975</c:v>
                </c:pt>
                <c:pt idx="676">
                  <c:v>104.35877999999975</c:v>
                </c:pt>
                <c:pt idx="677">
                  <c:v>104.35877999999975</c:v>
                </c:pt>
                <c:pt idx="678">
                  <c:v>104.35877999999975</c:v>
                </c:pt>
                <c:pt idx="679">
                  <c:v>104.35877999999975</c:v>
                </c:pt>
                <c:pt idx="680">
                  <c:v>104.35877999999975</c:v>
                </c:pt>
                <c:pt idx="681">
                  <c:v>104.35877999999975</c:v>
                </c:pt>
                <c:pt idx="682">
                  <c:v>104.35877999999975</c:v>
                </c:pt>
                <c:pt idx="683">
                  <c:v>104.35877999999975</c:v>
                </c:pt>
                <c:pt idx="684">
                  <c:v>104.35877999999975</c:v>
                </c:pt>
                <c:pt idx="685">
                  <c:v>104.35877999999975</c:v>
                </c:pt>
                <c:pt idx="686">
                  <c:v>104.35877999999975</c:v>
                </c:pt>
                <c:pt idx="687">
                  <c:v>104.35877999999975</c:v>
                </c:pt>
                <c:pt idx="688">
                  <c:v>104.35877999999975</c:v>
                </c:pt>
                <c:pt idx="689">
                  <c:v>104.35877999999975</c:v>
                </c:pt>
                <c:pt idx="690">
                  <c:v>104.35877999999975</c:v>
                </c:pt>
                <c:pt idx="691">
                  <c:v>104.35877999999975</c:v>
                </c:pt>
                <c:pt idx="692">
                  <c:v>104.35877999999975</c:v>
                </c:pt>
                <c:pt idx="693">
                  <c:v>104.35877999999975</c:v>
                </c:pt>
                <c:pt idx="694">
                  <c:v>104.35877999999975</c:v>
                </c:pt>
                <c:pt idx="695">
                  <c:v>104.35877999999975</c:v>
                </c:pt>
                <c:pt idx="696">
                  <c:v>104.35877999999975</c:v>
                </c:pt>
                <c:pt idx="697">
                  <c:v>104.35877999999975</c:v>
                </c:pt>
                <c:pt idx="698">
                  <c:v>104.35877999999975</c:v>
                </c:pt>
                <c:pt idx="699">
                  <c:v>104.35877999999975</c:v>
                </c:pt>
                <c:pt idx="700">
                  <c:v>104.35877999999975</c:v>
                </c:pt>
                <c:pt idx="701">
                  <c:v>104.35877999999975</c:v>
                </c:pt>
                <c:pt idx="702">
                  <c:v>104.35877999999975</c:v>
                </c:pt>
                <c:pt idx="703">
                  <c:v>104.35877999999975</c:v>
                </c:pt>
                <c:pt idx="704">
                  <c:v>104.35877999999975</c:v>
                </c:pt>
                <c:pt idx="705">
                  <c:v>104.35877999999975</c:v>
                </c:pt>
                <c:pt idx="706">
                  <c:v>104.35877999999975</c:v>
                </c:pt>
                <c:pt idx="707">
                  <c:v>104.35877999999975</c:v>
                </c:pt>
                <c:pt idx="708">
                  <c:v>104.35877999999975</c:v>
                </c:pt>
                <c:pt idx="709">
                  <c:v>104.35877999999975</c:v>
                </c:pt>
                <c:pt idx="710">
                  <c:v>104.35877999999975</c:v>
                </c:pt>
                <c:pt idx="711">
                  <c:v>104.35877999999975</c:v>
                </c:pt>
                <c:pt idx="712">
                  <c:v>104.35877999999975</c:v>
                </c:pt>
                <c:pt idx="713">
                  <c:v>104.35877999999975</c:v>
                </c:pt>
                <c:pt idx="714">
                  <c:v>104.35877999999975</c:v>
                </c:pt>
                <c:pt idx="715">
                  <c:v>104.35877999999975</c:v>
                </c:pt>
                <c:pt idx="716">
                  <c:v>104.35877999999975</c:v>
                </c:pt>
                <c:pt idx="717">
                  <c:v>104.35877999999975</c:v>
                </c:pt>
                <c:pt idx="718">
                  <c:v>104.35877999999975</c:v>
                </c:pt>
                <c:pt idx="719">
                  <c:v>104.35877999999975</c:v>
                </c:pt>
                <c:pt idx="720">
                  <c:v>104.35877999999975</c:v>
                </c:pt>
                <c:pt idx="721">
                  <c:v>104.35877999999975</c:v>
                </c:pt>
                <c:pt idx="722">
                  <c:v>104.35877999999975</c:v>
                </c:pt>
                <c:pt idx="723">
                  <c:v>104.35877999999975</c:v>
                </c:pt>
                <c:pt idx="724">
                  <c:v>104.35877999999975</c:v>
                </c:pt>
                <c:pt idx="725">
                  <c:v>104.35877999999975</c:v>
                </c:pt>
                <c:pt idx="726">
                  <c:v>104.35877999999975</c:v>
                </c:pt>
                <c:pt idx="727">
                  <c:v>104.35877999999975</c:v>
                </c:pt>
                <c:pt idx="728">
                  <c:v>104.35877999999975</c:v>
                </c:pt>
                <c:pt idx="729">
                  <c:v>104.35877999999975</c:v>
                </c:pt>
                <c:pt idx="730">
                  <c:v>104.35877999999975</c:v>
                </c:pt>
                <c:pt idx="731">
                  <c:v>104.35877999999975</c:v>
                </c:pt>
                <c:pt idx="732">
                  <c:v>104.35877999999975</c:v>
                </c:pt>
                <c:pt idx="733">
                  <c:v>104.35877999999975</c:v>
                </c:pt>
                <c:pt idx="734">
                  <c:v>104.35877999999975</c:v>
                </c:pt>
                <c:pt idx="735">
                  <c:v>104.35877999999975</c:v>
                </c:pt>
                <c:pt idx="736">
                  <c:v>104.35877999999975</c:v>
                </c:pt>
                <c:pt idx="737">
                  <c:v>104.35877999999975</c:v>
                </c:pt>
                <c:pt idx="738">
                  <c:v>104.35877999999975</c:v>
                </c:pt>
                <c:pt idx="739">
                  <c:v>104.35877999999975</c:v>
                </c:pt>
                <c:pt idx="740">
                  <c:v>104.35877999999975</c:v>
                </c:pt>
                <c:pt idx="741">
                  <c:v>104.35877999999975</c:v>
                </c:pt>
                <c:pt idx="742">
                  <c:v>104.35877999999975</c:v>
                </c:pt>
                <c:pt idx="743">
                  <c:v>104.35877999999975</c:v>
                </c:pt>
                <c:pt idx="744">
                  <c:v>104.35877999999975</c:v>
                </c:pt>
                <c:pt idx="745">
                  <c:v>104.35877999999975</c:v>
                </c:pt>
                <c:pt idx="746">
                  <c:v>104.35877999999975</c:v>
                </c:pt>
                <c:pt idx="747">
                  <c:v>104.35877999999975</c:v>
                </c:pt>
                <c:pt idx="748">
                  <c:v>104.35877999999975</c:v>
                </c:pt>
                <c:pt idx="749">
                  <c:v>104.35877999999975</c:v>
                </c:pt>
                <c:pt idx="750">
                  <c:v>104.35877999999975</c:v>
                </c:pt>
                <c:pt idx="751">
                  <c:v>104.35877999999975</c:v>
                </c:pt>
                <c:pt idx="752">
                  <c:v>104.35877999999975</c:v>
                </c:pt>
                <c:pt idx="753">
                  <c:v>104.35877999999975</c:v>
                </c:pt>
                <c:pt idx="754">
                  <c:v>104.35877999999975</c:v>
                </c:pt>
                <c:pt idx="755">
                  <c:v>104.35877999999975</c:v>
                </c:pt>
                <c:pt idx="756">
                  <c:v>104.35877999999975</c:v>
                </c:pt>
                <c:pt idx="757">
                  <c:v>104.35877999999975</c:v>
                </c:pt>
                <c:pt idx="758">
                  <c:v>104.35877999999975</c:v>
                </c:pt>
                <c:pt idx="759">
                  <c:v>104.35877999999975</c:v>
                </c:pt>
                <c:pt idx="760">
                  <c:v>104.35877999999975</c:v>
                </c:pt>
                <c:pt idx="761">
                  <c:v>104.35877999999975</c:v>
                </c:pt>
                <c:pt idx="762">
                  <c:v>104.35877999999975</c:v>
                </c:pt>
                <c:pt idx="763">
                  <c:v>104.35877999999975</c:v>
                </c:pt>
                <c:pt idx="764">
                  <c:v>104.35877999999975</c:v>
                </c:pt>
                <c:pt idx="765">
                  <c:v>104.35877999999975</c:v>
                </c:pt>
                <c:pt idx="766">
                  <c:v>104.35877999999975</c:v>
                </c:pt>
                <c:pt idx="767">
                  <c:v>104.35877999999975</c:v>
                </c:pt>
                <c:pt idx="768">
                  <c:v>104.35877999999975</c:v>
                </c:pt>
                <c:pt idx="769">
                  <c:v>104.35877999999975</c:v>
                </c:pt>
                <c:pt idx="770">
                  <c:v>104.35877999999975</c:v>
                </c:pt>
                <c:pt idx="771">
                  <c:v>104.35877999999975</c:v>
                </c:pt>
                <c:pt idx="772">
                  <c:v>104.35877999999975</c:v>
                </c:pt>
                <c:pt idx="773">
                  <c:v>104.35877999999975</c:v>
                </c:pt>
                <c:pt idx="774">
                  <c:v>104.35877999999975</c:v>
                </c:pt>
                <c:pt idx="775">
                  <c:v>104.35877999999975</c:v>
                </c:pt>
                <c:pt idx="776">
                  <c:v>104.35877999999975</c:v>
                </c:pt>
                <c:pt idx="777">
                  <c:v>104.35877999999975</c:v>
                </c:pt>
                <c:pt idx="778">
                  <c:v>104.35877999999975</c:v>
                </c:pt>
                <c:pt idx="779">
                  <c:v>104.35877999999975</c:v>
                </c:pt>
                <c:pt idx="780">
                  <c:v>104.35877999999975</c:v>
                </c:pt>
                <c:pt idx="781">
                  <c:v>104.35877999999975</c:v>
                </c:pt>
                <c:pt idx="782">
                  <c:v>104.35877999999975</c:v>
                </c:pt>
                <c:pt idx="783">
                  <c:v>104.35877999999975</c:v>
                </c:pt>
                <c:pt idx="784">
                  <c:v>104.35877999999975</c:v>
                </c:pt>
                <c:pt idx="785">
                  <c:v>104.35877999999975</c:v>
                </c:pt>
                <c:pt idx="786">
                  <c:v>104.35877999999975</c:v>
                </c:pt>
                <c:pt idx="787">
                  <c:v>104.35877999999975</c:v>
                </c:pt>
                <c:pt idx="788">
                  <c:v>104.35877999999975</c:v>
                </c:pt>
                <c:pt idx="789">
                  <c:v>104.35877999999975</c:v>
                </c:pt>
                <c:pt idx="790">
                  <c:v>104.35877999999975</c:v>
                </c:pt>
                <c:pt idx="791">
                  <c:v>104.35877999999975</c:v>
                </c:pt>
                <c:pt idx="792">
                  <c:v>104.35877999999975</c:v>
                </c:pt>
                <c:pt idx="793">
                  <c:v>104.35877999999975</c:v>
                </c:pt>
                <c:pt idx="794">
                  <c:v>104.35877999999975</c:v>
                </c:pt>
                <c:pt idx="795">
                  <c:v>104.35877999999975</c:v>
                </c:pt>
                <c:pt idx="796">
                  <c:v>104.35877999999975</c:v>
                </c:pt>
                <c:pt idx="797">
                  <c:v>104.35877999999975</c:v>
                </c:pt>
                <c:pt idx="798">
                  <c:v>104.35877999999975</c:v>
                </c:pt>
                <c:pt idx="799">
                  <c:v>104.35877999999975</c:v>
                </c:pt>
                <c:pt idx="800">
                  <c:v>104.35877999999975</c:v>
                </c:pt>
                <c:pt idx="801">
                  <c:v>104.35877999999975</c:v>
                </c:pt>
                <c:pt idx="802">
                  <c:v>104.35877999999975</c:v>
                </c:pt>
                <c:pt idx="803">
                  <c:v>104.35877999999975</c:v>
                </c:pt>
                <c:pt idx="804">
                  <c:v>104.35877999999975</c:v>
                </c:pt>
                <c:pt idx="805">
                  <c:v>104.35877999999975</c:v>
                </c:pt>
                <c:pt idx="806">
                  <c:v>104.35877999999975</c:v>
                </c:pt>
                <c:pt idx="807">
                  <c:v>104.35877999999975</c:v>
                </c:pt>
                <c:pt idx="808">
                  <c:v>104.35877999999975</c:v>
                </c:pt>
                <c:pt idx="809">
                  <c:v>104.35877999999975</c:v>
                </c:pt>
                <c:pt idx="810">
                  <c:v>104.35877999999975</c:v>
                </c:pt>
                <c:pt idx="811">
                  <c:v>104.35877999999975</c:v>
                </c:pt>
                <c:pt idx="812">
                  <c:v>104.35877999999975</c:v>
                </c:pt>
                <c:pt idx="813">
                  <c:v>104.35877999999975</c:v>
                </c:pt>
                <c:pt idx="814">
                  <c:v>104.35877999999975</c:v>
                </c:pt>
                <c:pt idx="815">
                  <c:v>104.35877999999975</c:v>
                </c:pt>
                <c:pt idx="816">
                  <c:v>104.35877999999975</c:v>
                </c:pt>
                <c:pt idx="817">
                  <c:v>104.35877999999975</c:v>
                </c:pt>
                <c:pt idx="818">
                  <c:v>104.35877999999975</c:v>
                </c:pt>
                <c:pt idx="819">
                  <c:v>104.35877999999975</c:v>
                </c:pt>
                <c:pt idx="820">
                  <c:v>104.35877999999975</c:v>
                </c:pt>
                <c:pt idx="821">
                  <c:v>104.35877999999975</c:v>
                </c:pt>
                <c:pt idx="822">
                  <c:v>104.35877999999975</c:v>
                </c:pt>
                <c:pt idx="823">
                  <c:v>104.35877999999975</c:v>
                </c:pt>
                <c:pt idx="824">
                  <c:v>104.35877999999975</c:v>
                </c:pt>
                <c:pt idx="825">
                  <c:v>104.35877999999975</c:v>
                </c:pt>
                <c:pt idx="826">
                  <c:v>104.35877999999975</c:v>
                </c:pt>
                <c:pt idx="827">
                  <c:v>104.35877999999975</c:v>
                </c:pt>
                <c:pt idx="828">
                  <c:v>104.35877999999975</c:v>
                </c:pt>
                <c:pt idx="829">
                  <c:v>104.35877999999975</c:v>
                </c:pt>
                <c:pt idx="830">
                  <c:v>104.35877999999975</c:v>
                </c:pt>
                <c:pt idx="831">
                  <c:v>104.35877999999975</c:v>
                </c:pt>
                <c:pt idx="832">
                  <c:v>104.35877999999975</c:v>
                </c:pt>
                <c:pt idx="833">
                  <c:v>104.35877999999975</c:v>
                </c:pt>
                <c:pt idx="834">
                  <c:v>104.35877999999975</c:v>
                </c:pt>
                <c:pt idx="835">
                  <c:v>104.35877999999975</c:v>
                </c:pt>
                <c:pt idx="836">
                  <c:v>104.35877999999975</c:v>
                </c:pt>
                <c:pt idx="837">
                  <c:v>104.35877999999975</c:v>
                </c:pt>
                <c:pt idx="838">
                  <c:v>104.35877999999975</c:v>
                </c:pt>
                <c:pt idx="839">
                  <c:v>104.35877999999975</c:v>
                </c:pt>
                <c:pt idx="840">
                  <c:v>104.35877999999975</c:v>
                </c:pt>
                <c:pt idx="841">
                  <c:v>104.35877999999975</c:v>
                </c:pt>
                <c:pt idx="842">
                  <c:v>104.35877999999975</c:v>
                </c:pt>
                <c:pt idx="843">
                  <c:v>104.35877999999975</c:v>
                </c:pt>
                <c:pt idx="844">
                  <c:v>104.35877999999975</c:v>
                </c:pt>
                <c:pt idx="845">
                  <c:v>104.35877999999975</c:v>
                </c:pt>
                <c:pt idx="846">
                  <c:v>104.35877999999975</c:v>
                </c:pt>
                <c:pt idx="847">
                  <c:v>104.35877999999975</c:v>
                </c:pt>
                <c:pt idx="848">
                  <c:v>104.35877999999975</c:v>
                </c:pt>
                <c:pt idx="849">
                  <c:v>104.35877999999975</c:v>
                </c:pt>
                <c:pt idx="850">
                  <c:v>104.35877999999975</c:v>
                </c:pt>
                <c:pt idx="851">
                  <c:v>104.35877999999975</c:v>
                </c:pt>
                <c:pt idx="852">
                  <c:v>104.35877999999975</c:v>
                </c:pt>
                <c:pt idx="853">
                  <c:v>104.35877999999975</c:v>
                </c:pt>
                <c:pt idx="854">
                  <c:v>104.35877999999975</c:v>
                </c:pt>
                <c:pt idx="855">
                  <c:v>104.35877999999975</c:v>
                </c:pt>
                <c:pt idx="856">
                  <c:v>104.35877999999975</c:v>
                </c:pt>
                <c:pt idx="857">
                  <c:v>104.35877999999975</c:v>
                </c:pt>
                <c:pt idx="858">
                  <c:v>104.35877999999975</c:v>
                </c:pt>
                <c:pt idx="859">
                  <c:v>104.35877999999975</c:v>
                </c:pt>
                <c:pt idx="860">
                  <c:v>104.35877999999975</c:v>
                </c:pt>
                <c:pt idx="861">
                  <c:v>104.35877999999975</c:v>
                </c:pt>
                <c:pt idx="862">
                  <c:v>104.35877999999975</c:v>
                </c:pt>
                <c:pt idx="863">
                  <c:v>104.35877999999975</c:v>
                </c:pt>
                <c:pt idx="864">
                  <c:v>104.35877999999975</c:v>
                </c:pt>
                <c:pt idx="865">
                  <c:v>104.35877999999975</c:v>
                </c:pt>
                <c:pt idx="866">
                  <c:v>104.35877999999975</c:v>
                </c:pt>
                <c:pt idx="867">
                  <c:v>104.35877999999975</c:v>
                </c:pt>
                <c:pt idx="868">
                  <c:v>104.35877999999975</c:v>
                </c:pt>
                <c:pt idx="869">
                  <c:v>104.35877999999975</c:v>
                </c:pt>
                <c:pt idx="870">
                  <c:v>104.35877999999975</c:v>
                </c:pt>
                <c:pt idx="871">
                  <c:v>104.35877999999975</c:v>
                </c:pt>
                <c:pt idx="872">
                  <c:v>104.35877999999975</c:v>
                </c:pt>
                <c:pt idx="873">
                  <c:v>104.35877999999975</c:v>
                </c:pt>
                <c:pt idx="874">
                  <c:v>104.35877999999975</c:v>
                </c:pt>
                <c:pt idx="875">
                  <c:v>104.35877999999975</c:v>
                </c:pt>
                <c:pt idx="876">
                  <c:v>104.35877999999975</c:v>
                </c:pt>
                <c:pt idx="877">
                  <c:v>104.35877999999975</c:v>
                </c:pt>
                <c:pt idx="878">
                  <c:v>104.35877999999975</c:v>
                </c:pt>
                <c:pt idx="879">
                  <c:v>104.35877999999975</c:v>
                </c:pt>
                <c:pt idx="880">
                  <c:v>104.35877999999975</c:v>
                </c:pt>
                <c:pt idx="881">
                  <c:v>104.35877999999975</c:v>
                </c:pt>
                <c:pt idx="882">
                  <c:v>104.35877999999975</c:v>
                </c:pt>
                <c:pt idx="883">
                  <c:v>104.35877999999975</c:v>
                </c:pt>
                <c:pt idx="884">
                  <c:v>104.35877999999975</c:v>
                </c:pt>
                <c:pt idx="885">
                  <c:v>104.35877999999975</c:v>
                </c:pt>
                <c:pt idx="886">
                  <c:v>104.35877999999975</c:v>
                </c:pt>
                <c:pt idx="887">
                  <c:v>104.35877999999975</c:v>
                </c:pt>
                <c:pt idx="888">
                  <c:v>104.35877999999975</c:v>
                </c:pt>
                <c:pt idx="889">
                  <c:v>104.35877999999975</c:v>
                </c:pt>
                <c:pt idx="890">
                  <c:v>104.35877999999975</c:v>
                </c:pt>
                <c:pt idx="891">
                  <c:v>104.35877999999975</c:v>
                </c:pt>
                <c:pt idx="892">
                  <c:v>104.35877999999975</c:v>
                </c:pt>
                <c:pt idx="893">
                  <c:v>104.35877999999975</c:v>
                </c:pt>
                <c:pt idx="894">
                  <c:v>104.35877999999975</c:v>
                </c:pt>
                <c:pt idx="895">
                  <c:v>104.35877999999975</c:v>
                </c:pt>
                <c:pt idx="896">
                  <c:v>104.35877999999975</c:v>
                </c:pt>
                <c:pt idx="897">
                  <c:v>104.35877999999975</c:v>
                </c:pt>
                <c:pt idx="898">
                  <c:v>104.35877999999975</c:v>
                </c:pt>
                <c:pt idx="899">
                  <c:v>104.35877999999975</c:v>
                </c:pt>
                <c:pt idx="900">
                  <c:v>104.35877999999975</c:v>
                </c:pt>
                <c:pt idx="901">
                  <c:v>104.35877999999975</c:v>
                </c:pt>
                <c:pt idx="902">
                  <c:v>104.35877999999975</c:v>
                </c:pt>
                <c:pt idx="903">
                  <c:v>104.35877999999975</c:v>
                </c:pt>
                <c:pt idx="904">
                  <c:v>104.35877999999975</c:v>
                </c:pt>
                <c:pt idx="905">
                  <c:v>104.35877999999975</c:v>
                </c:pt>
                <c:pt idx="906">
                  <c:v>104.35877999999975</c:v>
                </c:pt>
                <c:pt idx="907">
                  <c:v>104.35877999999975</c:v>
                </c:pt>
                <c:pt idx="908">
                  <c:v>104.35877999999975</c:v>
                </c:pt>
                <c:pt idx="909">
                  <c:v>104.35877999999975</c:v>
                </c:pt>
                <c:pt idx="910">
                  <c:v>104.35877999999975</c:v>
                </c:pt>
                <c:pt idx="911">
                  <c:v>104.35877999999975</c:v>
                </c:pt>
                <c:pt idx="912">
                  <c:v>104.35877999999975</c:v>
                </c:pt>
                <c:pt idx="913">
                  <c:v>104.35877999999975</c:v>
                </c:pt>
                <c:pt idx="914">
                  <c:v>104.35877999999975</c:v>
                </c:pt>
                <c:pt idx="915">
                  <c:v>104.35877999999975</c:v>
                </c:pt>
                <c:pt idx="916">
                  <c:v>104.35877999999975</c:v>
                </c:pt>
                <c:pt idx="917">
                  <c:v>104.35877999999975</c:v>
                </c:pt>
                <c:pt idx="918">
                  <c:v>104.35877999999975</c:v>
                </c:pt>
                <c:pt idx="919">
                  <c:v>104.35877999999975</c:v>
                </c:pt>
                <c:pt idx="920">
                  <c:v>104.35877999999975</c:v>
                </c:pt>
                <c:pt idx="921">
                  <c:v>104.35877999999975</c:v>
                </c:pt>
                <c:pt idx="922">
                  <c:v>104.35877999999975</c:v>
                </c:pt>
                <c:pt idx="923">
                  <c:v>104.35877999999975</c:v>
                </c:pt>
                <c:pt idx="924">
                  <c:v>104.35877999999975</c:v>
                </c:pt>
                <c:pt idx="925">
                  <c:v>104.35877999999975</c:v>
                </c:pt>
                <c:pt idx="926">
                  <c:v>104.35877999999975</c:v>
                </c:pt>
                <c:pt idx="927">
                  <c:v>104.35877999999975</c:v>
                </c:pt>
                <c:pt idx="928">
                  <c:v>104.35877999999975</c:v>
                </c:pt>
                <c:pt idx="929">
                  <c:v>104.35877999999975</c:v>
                </c:pt>
                <c:pt idx="930">
                  <c:v>104.35877999999975</c:v>
                </c:pt>
                <c:pt idx="931">
                  <c:v>104.35877999999975</c:v>
                </c:pt>
                <c:pt idx="932">
                  <c:v>104.35877999999975</c:v>
                </c:pt>
                <c:pt idx="933">
                  <c:v>104.35877999999975</c:v>
                </c:pt>
                <c:pt idx="934">
                  <c:v>104.35877999999975</c:v>
                </c:pt>
                <c:pt idx="935">
                  <c:v>104.35877999999975</c:v>
                </c:pt>
                <c:pt idx="936">
                  <c:v>104.35877999999975</c:v>
                </c:pt>
                <c:pt idx="937">
                  <c:v>104.35877999999975</c:v>
                </c:pt>
                <c:pt idx="938">
                  <c:v>104.35877999999975</c:v>
                </c:pt>
                <c:pt idx="939">
                  <c:v>104.35877999999975</c:v>
                </c:pt>
                <c:pt idx="940">
                  <c:v>104.35877999999975</c:v>
                </c:pt>
                <c:pt idx="941">
                  <c:v>104.35877999999975</c:v>
                </c:pt>
                <c:pt idx="942">
                  <c:v>104.35877999999975</c:v>
                </c:pt>
                <c:pt idx="943">
                  <c:v>104.35877999999975</c:v>
                </c:pt>
                <c:pt idx="944">
                  <c:v>104.35877999999975</c:v>
                </c:pt>
                <c:pt idx="945">
                  <c:v>104.35877999999975</c:v>
                </c:pt>
                <c:pt idx="946">
                  <c:v>104.35877999999975</c:v>
                </c:pt>
                <c:pt idx="947">
                  <c:v>104.35877999999975</c:v>
                </c:pt>
                <c:pt idx="948">
                  <c:v>104.35877999999975</c:v>
                </c:pt>
                <c:pt idx="949">
                  <c:v>104.35877999999975</c:v>
                </c:pt>
                <c:pt idx="950">
                  <c:v>104.35877999999975</c:v>
                </c:pt>
                <c:pt idx="951">
                  <c:v>104.35877999999975</c:v>
                </c:pt>
                <c:pt idx="952">
                  <c:v>104.35877999999975</c:v>
                </c:pt>
                <c:pt idx="953">
                  <c:v>104.35877999999975</c:v>
                </c:pt>
                <c:pt idx="954">
                  <c:v>104.35877999999975</c:v>
                </c:pt>
                <c:pt idx="955">
                  <c:v>104.35877999999975</c:v>
                </c:pt>
                <c:pt idx="956">
                  <c:v>104.35877999999975</c:v>
                </c:pt>
                <c:pt idx="957">
                  <c:v>104.35877999999975</c:v>
                </c:pt>
                <c:pt idx="958">
                  <c:v>104.35877999999975</c:v>
                </c:pt>
                <c:pt idx="959">
                  <c:v>104.35877999999975</c:v>
                </c:pt>
                <c:pt idx="960">
                  <c:v>104.35877999999975</c:v>
                </c:pt>
                <c:pt idx="961">
                  <c:v>104.35877999999975</c:v>
                </c:pt>
                <c:pt idx="962">
                  <c:v>104.35877999999975</c:v>
                </c:pt>
                <c:pt idx="963">
                  <c:v>104.35877999999975</c:v>
                </c:pt>
                <c:pt idx="964">
                  <c:v>104.35877999999975</c:v>
                </c:pt>
                <c:pt idx="965">
                  <c:v>104.35877999999975</c:v>
                </c:pt>
                <c:pt idx="966">
                  <c:v>104.35877999999975</c:v>
                </c:pt>
                <c:pt idx="967">
                  <c:v>104.35877999999975</c:v>
                </c:pt>
                <c:pt idx="968">
                  <c:v>104.35877999999975</c:v>
                </c:pt>
                <c:pt idx="969">
                  <c:v>104.35877999999975</c:v>
                </c:pt>
                <c:pt idx="970">
                  <c:v>104.35877999999975</c:v>
                </c:pt>
                <c:pt idx="971">
                  <c:v>104.35877999999975</c:v>
                </c:pt>
                <c:pt idx="972">
                  <c:v>104.35877999999975</c:v>
                </c:pt>
                <c:pt idx="973">
                  <c:v>104.35877999999975</c:v>
                </c:pt>
                <c:pt idx="974">
                  <c:v>104.35877999999975</c:v>
                </c:pt>
                <c:pt idx="975">
                  <c:v>104.35877999999975</c:v>
                </c:pt>
                <c:pt idx="976">
                  <c:v>104.35877999999975</c:v>
                </c:pt>
                <c:pt idx="977">
                  <c:v>104.35877999999975</c:v>
                </c:pt>
                <c:pt idx="978">
                  <c:v>104.35877999999975</c:v>
                </c:pt>
                <c:pt idx="979">
                  <c:v>104.35877999999975</c:v>
                </c:pt>
                <c:pt idx="980">
                  <c:v>104.35877999999975</c:v>
                </c:pt>
                <c:pt idx="981">
                  <c:v>104.35877999999975</c:v>
                </c:pt>
                <c:pt idx="982">
                  <c:v>104.35877999999975</c:v>
                </c:pt>
                <c:pt idx="983">
                  <c:v>104.35877999999975</c:v>
                </c:pt>
                <c:pt idx="984">
                  <c:v>104.35877999999975</c:v>
                </c:pt>
                <c:pt idx="985">
                  <c:v>104.35877999999975</c:v>
                </c:pt>
                <c:pt idx="986">
                  <c:v>104.35877999999975</c:v>
                </c:pt>
                <c:pt idx="987">
                  <c:v>104.35877999999975</c:v>
                </c:pt>
                <c:pt idx="988">
                  <c:v>104.35877999999975</c:v>
                </c:pt>
                <c:pt idx="989">
                  <c:v>104.35877999999975</c:v>
                </c:pt>
                <c:pt idx="990">
                  <c:v>104.35877999999975</c:v>
                </c:pt>
                <c:pt idx="991">
                  <c:v>104.35877999999975</c:v>
                </c:pt>
                <c:pt idx="992">
                  <c:v>104.35877999999975</c:v>
                </c:pt>
                <c:pt idx="993">
                  <c:v>104.35877999999975</c:v>
                </c:pt>
                <c:pt idx="994">
                  <c:v>104.35877999999975</c:v>
                </c:pt>
                <c:pt idx="995">
                  <c:v>104.35877999999975</c:v>
                </c:pt>
                <c:pt idx="996">
                  <c:v>104.35877999999975</c:v>
                </c:pt>
                <c:pt idx="997">
                  <c:v>104.35877999999975</c:v>
                </c:pt>
                <c:pt idx="998">
                  <c:v>104.35877999999975</c:v>
                </c:pt>
                <c:pt idx="999">
                  <c:v>104.35877999999975</c:v>
                </c:pt>
                <c:pt idx="1000">
                  <c:v>104.35877999999975</c:v>
                </c:pt>
              </c:numCache>
            </c:numRef>
          </c:yVal>
          <c:smooth val="0"/>
          <c:extLst>
            <c:ext xmlns:c16="http://schemas.microsoft.com/office/drawing/2014/chart" uri="{C3380CC4-5D6E-409C-BE32-E72D297353CC}">
              <c16:uniqueId val="{00000001-5334-48F2-9051-C40E5F5CB63F}"/>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47.400100000000343</c:v>
                </c:pt>
                <c:pt idx="926">
                  <c:v>47.400200000000346</c:v>
                </c:pt>
                <c:pt idx="927">
                  <c:v>47.40030000000035</c:v>
                </c:pt>
                <c:pt idx="928">
                  <c:v>47.400400000000353</c:v>
                </c:pt>
                <c:pt idx="929">
                  <c:v>47.400500000000356</c:v>
                </c:pt>
                <c:pt idx="930">
                  <c:v>47.40060000000036</c:v>
                </c:pt>
                <c:pt idx="931">
                  <c:v>47.400700000000363</c:v>
                </c:pt>
                <c:pt idx="932">
                  <c:v>47.400800000000366</c:v>
                </c:pt>
                <c:pt idx="933">
                  <c:v>47.40090000000037</c:v>
                </c:pt>
                <c:pt idx="934">
                  <c:v>47.401000000000373</c:v>
                </c:pt>
                <c:pt idx="935">
                  <c:v>47.401100000000376</c:v>
                </c:pt>
                <c:pt idx="936">
                  <c:v>47.401200000000379</c:v>
                </c:pt>
                <c:pt idx="937">
                  <c:v>47.401300000000383</c:v>
                </c:pt>
                <c:pt idx="938">
                  <c:v>47.401400000000386</c:v>
                </c:pt>
                <c:pt idx="939">
                  <c:v>47.401500000000389</c:v>
                </c:pt>
                <c:pt idx="940">
                  <c:v>47.401600000000393</c:v>
                </c:pt>
                <c:pt idx="941">
                  <c:v>47.401700000000396</c:v>
                </c:pt>
                <c:pt idx="942">
                  <c:v>47.401800000000399</c:v>
                </c:pt>
                <c:pt idx="943">
                  <c:v>47.401900000000403</c:v>
                </c:pt>
                <c:pt idx="944">
                  <c:v>47.402000000000406</c:v>
                </c:pt>
                <c:pt idx="945">
                  <c:v>47.402100000000409</c:v>
                </c:pt>
                <c:pt idx="946">
                  <c:v>47.402200000000413</c:v>
                </c:pt>
                <c:pt idx="947">
                  <c:v>47.402300000000416</c:v>
                </c:pt>
                <c:pt idx="948">
                  <c:v>47.402400000000419</c:v>
                </c:pt>
                <c:pt idx="949">
                  <c:v>47.402500000000423</c:v>
                </c:pt>
                <c:pt idx="950">
                  <c:v>47.402600000000426</c:v>
                </c:pt>
                <c:pt idx="951">
                  <c:v>47.402700000000429</c:v>
                </c:pt>
                <c:pt idx="952">
                  <c:v>47.402800000000433</c:v>
                </c:pt>
                <c:pt idx="953">
                  <c:v>47.402900000000436</c:v>
                </c:pt>
                <c:pt idx="954">
                  <c:v>47.403000000000439</c:v>
                </c:pt>
                <c:pt idx="955">
                  <c:v>47.403100000000443</c:v>
                </c:pt>
                <c:pt idx="956">
                  <c:v>47.403200000000446</c:v>
                </c:pt>
                <c:pt idx="957">
                  <c:v>47.403300000000449</c:v>
                </c:pt>
                <c:pt idx="958">
                  <c:v>47.403400000000453</c:v>
                </c:pt>
                <c:pt idx="959">
                  <c:v>47.403500000000456</c:v>
                </c:pt>
                <c:pt idx="960">
                  <c:v>47.403600000000459</c:v>
                </c:pt>
                <c:pt idx="961">
                  <c:v>47.403700000000462</c:v>
                </c:pt>
                <c:pt idx="962">
                  <c:v>47.403800000000466</c:v>
                </c:pt>
                <c:pt idx="963">
                  <c:v>47.403900000000469</c:v>
                </c:pt>
                <c:pt idx="964">
                  <c:v>47.404000000000472</c:v>
                </c:pt>
                <c:pt idx="965">
                  <c:v>47.404100000000476</c:v>
                </c:pt>
                <c:pt idx="966">
                  <c:v>47.404200000000479</c:v>
                </c:pt>
                <c:pt idx="967">
                  <c:v>47.404300000000482</c:v>
                </c:pt>
                <c:pt idx="968">
                  <c:v>47.404400000000486</c:v>
                </c:pt>
                <c:pt idx="969">
                  <c:v>47.404500000000489</c:v>
                </c:pt>
                <c:pt idx="970">
                  <c:v>47.404600000000492</c:v>
                </c:pt>
                <c:pt idx="971">
                  <c:v>47.404700000000496</c:v>
                </c:pt>
                <c:pt idx="972">
                  <c:v>47.404800000000499</c:v>
                </c:pt>
                <c:pt idx="973">
                  <c:v>47.404900000000502</c:v>
                </c:pt>
                <c:pt idx="974">
                  <c:v>47.405000000000506</c:v>
                </c:pt>
                <c:pt idx="975">
                  <c:v>47.405100000000509</c:v>
                </c:pt>
                <c:pt idx="976">
                  <c:v>47.405200000000512</c:v>
                </c:pt>
                <c:pt idx="977">
                  <c:v>47.405300000000516</c:v>
                </c:pt>
                <c:pt idx="978">
                  <c:v>47.405400000000519</c:v>
                </c:pt>
                <c:pt idx="979">
                  <c:v>47.405500000000522</c:v>
                </c:pt>
                <c:pt idx="980">
                  <c:v>47.405600000000526</c:v>
                </c:pt>
                <c:pt idx="981">
                  <c:v>47.405700000000529</c:v>
                </c:pt>
                <c:pt idx="982">
                  <c:v>47.405800000000532</c:v>
                </c:pt>
                <c:pt idx="983">
                  <c:v>47.405900000000535</c:v>
                </c:pt>
                <c:pt idx="984">
                  <c:v>47.406000000000539</c:v>
                </c:pt>
                <c:pt idx="985">
                  <c:v>47.406100000000542</c:v>
                </c:pt>
                <c:pt idx="986">
                  <c:v>47.406200000000545</c:v>
                </c:pt>
                <c:pt idx="987">
                  <c:v>47.406300000000549</c:v>
                </c:pt>
                <c:pt idx="988">
                  <c:v>47.406400000000552</c:v>
                </c:pt>
                <c:pt idx="989">
                  <c:v>47.406500000000555</c:v>
                </c:pt>
                <c:pt idx="990">
                  <c:v>47.406600000000559</c:v>
                </c:pt>
                <c:pt idx="991">
                  <c:v>47.406700000000562</c:v>
                </c:pt>
                <c:pt idx="992">
                  <c:v>47.406800000000565</c:v>
                </c:pt>
                <c:pt idx="993">
                  <c:v>47.406900000000569</c:v>
                </c:pt>
                <c:pt idx="994">
                  <c:v>47.407000000000572</c:v>
                </c:pt>
                <c:pt idx="995">
                  <c:v>47.407100000000575</c:v>
                </c:pt>
                <c:pt idx="996">
                  <c:v>47.407200000000579</c:v>
                </c:pt>
                <c:pt idx="997">
                  <c:v>47.407300000000582</c:v>
                </c:pt>
                <c:pt idx="998">
                  <c:v>47.407400000000585</c:v>
                </c:pt>
                <c:pt idx="999">
                  <c:v>47.407500000000589</c:v>
                </c:pt>
                <c:pt idx="1000">
                  <c:v>47.407600000000592</c:v>
                </c:pt>
              </c:numCache>
            </c:numRef>
          </c:xVal>
          <c:yVal>
            <c:numRef>
              <c:f>Calculs!$W$4:$W$1004</c:f>
              <c:numCache>
                <c:formatCode>0.00</c:formatCode>
                <c:ptCount val="1001"/>
                <c:pt idx="0">
                  <c:v>0</c:v>
                </c:pt>
                <c:pt idx="1">
                  <c:v>1.5740625550653613E-5</c:v>
                </c:pt>
                <c:pt idx="2">
                  <c:v>3.2217657015159491E-4</c:v>
                </c:pt>
                <c:pt idx="3">
                  <c:v>1.3023225554668484E-3</c:v>
                </c:pt>
                <c:pt idx="4">
                  <c:v>3.4088781586806222E-3</c:v>
                </c:pt>
                <c:pt idx="5">
                  <c:v>7.1988926543172533E-3</c:v>
                </c:pt>
                <c:pt idx="6">
                  <c:v>1.3334145317448136E-2</c:v>
                </c:pt>
                <c:pt idx="7">
                  <c:v>2.2581582293333586E-2</c:v>
                </c:pt>
                <c:pt idx="8">
                  <c:v>3.5813809414140536E-2</c:v>
                </c:pt>
                <c:pt idx="9">
                  <c:v>5.4009640389531308E-2</c:v>
                </c:pt>
                <c:pt idx="10">
                  <c:v>7.8254699842362857E-2</c:v>
                </c:pt>
                <c:pt idx="11">
                  <c:v>0.10816323005619081</c:v>
                </c:pt>
                <c:pt idx="12">
                  <c:v>0.14245604435197168</c:v>
                </c:pt>
                <c:pt idx="13">
                  <c:v>0.18094489346973597</c:v>
                </c:pt>
                <c:pt idx="14">
                  <c:v>0.22343626505642877</c:v>
                </c:pt>
                <c:pt idx="15">
                  <c:v>0.26975055173256129</c:v>
                </c:pt>
                <c:pt idx="16">
                  <c:v>0.31971010886664475</c:v>
                </c:pt>
                <c:pt idx="17">
                  <c:v>0.37313927851685808</c:v>
                </c:pt>
                <c:pt idx="18">
                  <c:v>0.42986441298759587</c:v>
                </c:pt>
                <c:pt idx="19">
                  <c:v>0.48971389799876808</c:v>
                </c:pt>
                <c:pt idx="20">
                  <c:v>0.55251817546586757</c:v>
                </c:pt>
                <c:pt idx="21">
                  <c:v>0.61810976588894817</c:v>
                </c:pt>
                <c:pt idx="22">
                  <c:v>0.68632329034880202</c:v>
                </c:pt>
                <c:pt idx="23">
                  <c:v>0.75699549210874784</c:v>
                </c:pt>
                <c:pt idx="24">
                  <c:v>0.82996525782059638</c:v>
                </c:pt>
                <c:pt idx="25">
                  <c:v>0.90507363833346732</c:v>
                </c:pt>
                <c:pt idx="26">
                  <c:v>0.98216386910429732</c:v>
                </c:pt>
                <c:pt idx="27">
                  <c:v>1.0617432017162731</c:v>
                </c:pt>
                <c:pt idx="28">
                  <c:v>1.1444220738318722</c:v>
                </c:pt>
                <c:pt idx="29">
                  <c:v>1.230200078492796</c:v>
                </c:pt>
                <c:pt idx="30">
                  <c:v>1.3190767513920525</c:v>
                </c:pt>
                <c:pt idx="31">
                  <c:v>1.4110515708227362</c:v>
                </c:pt>
                <c:pt idx="32">
                  <c:v>1.5061239576289729</c:v>
                </c:pt>
                <c:pt idx="33">
                  <c:v>1.6042932751590357</c:v>
                </c:pt>
                <c:pt idx="34">
                  <c:v>1.7055588292206409</c:v>
                </c:pt>
                <c:pt idx="35">
                  <c:v>1.8099198680384254</c:v>
                </c:pt>
                <c:pt idx="36">
                  <c:v>1.9173763729816198</c:v>
                </c:pt>
                <c:pt idx="37">
                  <c:v>2.0279283920253395</c:v>
                </c:pt>
                <c:pt idx="38">
                  <c:v>2.1415751041234312</c:v>
                </c:pt>
                <c:pt idx="39">
                  <c:v>2.2583156284748904</c:v>
                </c:pt>
                <c:pt idx="40">
                  <c:v>2.3781490245792991</c:v>
                </c:pt>
                <c:pt idx="41">
                  <c:v>2.5010742922944882</c:v>
                </c:pt>
                <c:pt idx="42">
                  <c:v>2.6270903718903695</c:v>
                </c:pt>
                <c:pt idx="43">
                  <c:v>2.7561961440995146</c:v>
                </c:pt>
                <c:pt idx="44">
                  <c:v>2.8883904301649825</c:v>
                </c:pt>
                <c:pt idx="45">
                  <c:v>3.0236719918858022</c:v>
                </c:pt>
                <c:pt idx="46">
                  <c:v>3.1620395316605445</c:v>
                </c:pt>
                <c:pt idx="47">
                  <c:v>3.3034916925293052</c:v>
                </c:pt>
                <c:pt idx="48">
                  <c:v>3.4480270582144201</c:v>
                </c:pt>
                <c:pt idx="49">
                  <c:v>3.595644153160225</c:v>
                </c:pt>
                <c:pt idx="50">
                  <c:v>3.7463414425720498</c:v>
                </c:pt>
                <c:pt idx="51">
                  <c:v>3.9001173324547649</c:v>
                </c:pt>
                <c:pt idx="52">
                  <c:v>4.0569701696510192</c:v>
                </c:pt>
                <c:pt idx="53">
                  <c:v>4.216898241879389</c:v>
                </c:pt>
                <c:pt idx="54">
                  <c:v>4.379899777772617</c:v>
                </c:pt>
                <c:pt idx="55">
                  <c:v>4.5459729469160752</c:v>
                </c:pt>
                <c:pt idx="56">
                  <c:v>4.715115859886617</c:v>
                </c:pt>
                <c:pt idx="57">
                  <c:v>4.8873265682919556</c:v>
                </c:pt>
                <c:pt idx="58">
                  <c:v>5.062603064810645</c:v>
                </c:pt>
                <c:pt idx="59">
                  <c:v>5.2409432832328342</c:v>
                </c:pt>
                <c:pt idx="60">
                  <c:v>5.4223450985018475</c:v>
                </c:pt>
                <c:pt idx="61">
                  <c:v>5.6068063267567201</c:v>
                </c:pt>
                <c:pt idx="62">
                  <c:v>5.7943247253757351</c:v>
                </c:pt>
                <c:pt idx="63">
                  <c:v>5.9848979930210842</c:v>
                </c:pt>
                <c:pt idx="64">
                  <c:v>6.1785237696847082</c:v>
                </c:pt>
                <c:pt idx="65">
                  <c:v>6.3751996367353438</c:v>
                </c:pt>
                <c:pt idx="66">
                  <c:v>6.5749231169669295</c:v>
                </c:pt>
                <c:pt idx="67">
                  <c:v>6.7776916746483318</c:v>
                </c:pt>
                <c:pt idx="68">
                  <c:v>6.9835027155745077</c:v>
                </c:pt>
                <c:pt idx="69">
                  <c:v>7.1923535871191495</c:v>
                </c:pt>
                <c:pt idx="70">
                  <c:v>7.4042415782887971</c:v>
                </c:pt>
                <c:pt idx="71">
                  <c:v>7.6191639197785674</c:v>
                </c:pt>
                <c:pt idx="72">
                  <c:v>7.8370972536876602</c:v>
                </c:pt>
                <c:pt idx="73">
                  <c:v>8.0580169869610252</c:v>
                </c:pt>
                <c:pt idx="74">
                  <c:v>8.2819184126242789</c:v>
                </c:pt>
                <c:pt idx="75">
                  <c:v>8.5087967651939085</c:v>
                </c:pt>
                <c:pt idx="76">
                  <c:v>8.7386472208117016</c:v>
                </c:pt>
                <c:pt idx="77">
                  <c:v>8.9714648973809616</c:v>
                </c:pt>
                <c:pt idx="78">
                  <c:v>9.2072448547045536</c:v>
                </c:pt>
                <c:pt idx="79">
                  <c:v>9.4459820946248545</c:v>
                </c:pt>
                <c:pt idx="80">
                  <c:v>9.6876715611655531</c:v>
                </c:pt>
                <c:pt idx="81">
                  <c:v>9.9323081406753388</c:v>
                </c:pt>
                <c:pt idx="82">
                  <c:v>10.179886661973535</c:v>
                </c:pt>
                <c:pt idx="83">
                  <c:v>10.43040189649763</c:v>
                </c:pt>
                <c:pt idx="84">
                  <c:v>10.683848558452748</c:v>
                </c:pt>
                <c:pt idx="85">
                  <c:v>10.940221304963091</c:v>
                </c:pt>
                <c:pt idx="86">
                  <c:v>11.199514736225328</c:v>
                </c:pt>
                <c:pt idx="87">
                  <c:v>11.461723395663935</c:v>
                </c:pt>
                <c:pt idx="88">
                  <c:v>11.726841770088564</c:v>
                </c:pt>
                <c:pt idx="89">
                  <c:v>11.994864289853304</c:v>
                </c:pt>
                <c:pt idx="90">
                  <c:v>12.265785329018069</c:v>
                </c:pt>
                <c:pt idx="91">
                  <c:v>12.539599205511816</c:v>
                </c:pt>
                <c:pt idx="92">
                  <c:v>12.816300181297919</c:v>
                </c:pt>
                <c:pt idx="93">
                  <c:v>13.095882462541445</c:v>
                </c:pt>
                <c:pt idx="94">
                  <c:v>13.378340199778455</c:v>
                </c:pt>
                <c:pt idx="95">
                  <c:v>13.663667488087343</c:v>
                </c:pt>
                <c:pt idx="96">
                  <c:v>13.951858367262187</c:v>
                </c:pt>
                <c:pt idx="97">
                  <c:v>14.242906821988019</c:v>
                </c:pt>
                <c:pt idx="98">
                  <c:v>14.536806782018253</c:v>
                </c:pt>
                <c:pt idx="99">
                  <c:v>14.833552122354007</c:v>
                </c:pt>
                <c:pt idx="100">
                  <c:v>15.133136663425464</c:v>
                </c:pt>
                <c:pt idx="101">
                  <c:v>15.435554171275287</c:v>
                </c:pt>
                <c:pt idx="102">
                  <c:v>15.740798357743946</c:v>
                </c:pt>
                <c:pt idx="103">
                  <c:v>16.048862880657154</c:v>
                </c:pt>
                <c:pt idx="104">
                  <c:v>16.359741344015212</c:v>
                </c:pt>
                <c:pt idx="105">
                  <c:v>16.673427298184436</c:v>
                </c:pt>
                <c:pt idx="106">
                  <c:v>16.989914240090449</c:v>
                </c:pt>
                <c:pt idx="107">
                  <c:v>17.309195613413628</c:v>
                </c:pt>
                <c:pt idx="108">
                  <c:v>17.631264808786408</c:v>
                </c:pt>
                <c:pt idx="109">
                  <c:v>17.956115163992589</c:v>
                </c:pt>
                <c:pt idx="110">
                  <c:v>18.283739964168635</c:v>
                </c:pt>
                <c:pt idx="111">
                  <c:v>18.614132442006962</c:v>
                </c:pt>
                <c:pt idx="112">
                  <c:v>18.947285777961138</c:v>
                </c:pt>
                <c:pt idx="113">
                  <c:v>19.28319310045304</c:v>
                </c:pt>
                <c:pt idx="114">
                  <c:v>19.621847486081986</c:v>
                </c:pt>
                <c:pt idx="115">
                  <c:v>19.963241959835809</c:v>
                </c:pt>
                <c:pt idx="116">
                  <c:v>20.307369495303842</c:v>
                </c:pt>
                <c:pt idx="117">
                  <c:v>20.654223014891794</c:v>
                </c:pt>
                <c:pt idx="118">
                  <c:v>21.003795390038672</c:v>
                </c:pt>
                <c:pt idx="119">
                  <c:v>21.356079441435391</c:v>
                </c:pt>
                <c:pt idx="120">
                  <c:v>21.711067939245513</c:v>
                </c:pt>
                <c:pt idx="121">
                  <c:v>22.068753603327767</c:v>
                </c:pt>
                <c:pt idx="122">
                  <c:v>22.429129103460397</c:v>
                </c:pt>
                <c:pt idx="123">
                  <c:v>22.792187059567457</c:v>
                </c:pt>
                <c:pt idx="124">
                  <c:v>23.157920041947026</c:v>
                </c:pt>
                <c:pt idx="125">
                  <c:v>23.526320571501078</c:v>
                </c:pt>
                <c:pt idx="126">
                  <c:v>23.897381119967431</c:v>
                </c:pt>
                <c:pt idx="127">
                  <c:v>24.271094110153289</c:v>
                </c:pt>
                <c:pt idx="128">
                  <c:v>24.647451916170848</c:v>
                </c:pt>
                <c:pt idx="129">
                  <c:v>25.026278076317677</c:v>
                </c:pt>
                <c:pt idx="130">
                  <c:v>25.407390786626838</c:v>
                </c:pt>
                <c:pt idx="131">
                  <c:v>25.790774389447378</c:v>
                </c:pt>
                <c:pt idx="132">
                  <c:v>26.176413196000876</c:v>
                </c:pt>
                <c:pt idx="133">
                  <c:v>26.564291486967935</c:v>
                </c:pt>
                <c:pt idx="134">
                  <c:v>26.954393513074958</c:v>
                </c:pt>
                <c:pt idx="135">
                  <c:v>27.346703495681439</c:v>
                </c:pt>
                <c:pt idx="136">
                  <c:v>27.741205627367471</c:v>
                </c:pt>
                <c:pt idx="137">
                  <c:v>28.137884072521622</c:v>
                </c:pt>
                <c:pt idx="138">
                  <c:v>28.536722967929169</c:v>
                </c:pt>
                <c:pt idx="139">
                  <c:v>28.937706423360439</c:v>
                </c:pt>
                <c:pt idx="140">
                  <c:v>29.340818522159395</c:v>
                </c:pt>
                <c:pt idx="141">
                  <c:v>29.746043321832541</c:v>
                </c:pt>
                <c:pt idx="142">
                  <c:v>30.153364854637648</c:v>
                </c:pt>
                <c:pt idx="143">
                  <c:v>30.562767128172915</c:v>
                </c:pt>
                <c:pt idx="144">
                  <c:v>30.974234125966024</c:v>
                </c:pt>
                <c:pt idx="145">
                  <c:v>31.387749808063163</c:v>
                </c:pt>
                <c:pt idx="146">
                  <c:v>31.803298111618233</c:v>
                </c:pt>
                <c:pt idx="147">
                  <c:v>32.220862951481756</c:v>
                </c:pt>
                <c:pt idx="148">
                  <c:v>32.640428220790028</c:v>
                </c:pt>
                <c:pt idx="149">
                  <c:v>33.061977791553844</c:v>
                </c:pt>
                <c:pt idx="150">
                  <c:v>33.485495515247237</c:v>
                </c:pt>
                <c:pt idx="151">
                  <c:v>33.910965223396019</c:v>
                </c:pt>
                <c:pt idx="152">
                  <c:v>34.338370728166076</c:v>
                </c:pt>
                <c:pt idx="153">
                  <c:v>34.767695822951396</c:v>
                </c:pt>
                <c:pt idx="154">
                  <c:v>35.198924282961791</c:v>
                </c:pt>
                <c:pt idx="155">
                  <c:v>35.632039865810434</c:v>
                </c:pt>
                <c:pt idx="156">
                  <c:v>36.067026312100765</c:v>
                </c:pt>
                <c:pt idx="157">
                  <c:v>36.50386734601328</c:v>
                </c:pt>
                <c:pt idx="158">
                  <c:v>36.942546675891684</c:v>
                </c:pt>
                <c:pt idx="159">
                  <c:v>37.383047994828672</c:v>
                </c:pt>
                <c:pt idx="160">
                  <c:v>37.825354981251223</c:v>
                </c:pt>
                <c:pt idx="161">
                  <c:v>38.26945129950527</c:v>
                </c:pt>
                <c:pt idx="162">
                  <c:v>38.715320600439888</c:v>
                </c:pt>
                <c:pt idx="163">
                  <c:v>39.162946521990804</c:v>
                </c:pt>
                <c:pt idx="164">
                  <c:v>39.612312689763343</c:v>
                </c:pt>
                <c:pt idx="165">
                  <c:v>40.063402717614572</c:v>
                </c:pt>
                <c:pt idx="166">
                  <c:v>40.516200208234949</c:v>
                </c:pt>
                <c:pt idx="167">
                  <c:v>40.970688753728979</c:v>
                </c:pt>
                <c:pt idx="168">
                  <c:v>41.426851936195256</c:v>
                </c:pt>
                <c:pt idx="169">
                  <c:v>41.884673328305603</c:v>
                </c:pt>
                <c:pt idx="170">
                  <c:v>42.344136493883546</c:v>
                </c:pt>
                <c:pt idx="171">
                  <c:v>42.805224988481569</c:v>
                </c:pt>
                <c:pt idx="172">
                  <c:v>43.267922359957844</c:v>
                </c:pt>
                <c:pt idx="173">
                  <c:v>43.732212149051733</c:v>
                </c:pt>
                <c:pt idx="174">
                  <c:v>44.198077889958419</c:v>
                </c:pt>
                <c:pt idx="175">
                  <c:v>44.66550311090262</c:v>
                </c:pt>
                <c:pt idx="176">
                  <c:v>45.134471334711009</c:v>
                </c:pt>
                <c:pt idx="177">
                  <c:v>45.604966079383736</c:v>
                </c:pt>
                <c:pt idx="178">
                  <c:v>46.076970858665</c:v>
                </c:pt>
                <c:pt idx="179">
                  <c:v>46.550469182612026</c:v>
                </c:pt>
                <c:pt idx="180">
                  <c:v>47.025444558163194</c:v>
                </c:pt>
                <c:pt idx="181">
                  <c:v>47.501880489705158</c:v>
                </c:pt>
                <c:pt idx="182">
                  <c:v>47.979760479638053</c:v>
                </c:pt>
                <c:pt idx="183">
                  <c:v>48.45906802894018</c:v>
                </c:pt>
                <c:pt idx="184">
                  <c:v>48.939786637730947</c:v>
                </c:pt>
                <c:pt idx="185">
                  <c:v>49.421899805832524</c:v>
                </c:pt>
                <c:pt idx="186">
                  <c:v>49.905391033330361</c:v>
                </c:pt>
                <c:pt idx="187">
                  <c:v>50.390243821131996</c:v>
                </c:pt>
                <c:pt idx="188">
                  <c:v>50.876441671524745</c:v>
                </c:pt>
                <c:pt idx="189">
                  <c:v>51.363968088731589</c:v>
                </c:pt>
                <c:pt idx="190">
                  <c:v>51.852806579466048</c:v>
                </c:pt>
                <c:pt idx="191">
                  <c:v>52.342940653485016</c:v>
                </c:pt>
                <c:pt idx="192">
                  <c:v>52.834353824140443</c:v>
                </c:pt>
                <c:pt idx="193">
                  <c:v>53.327029608929344</c:v>
                </c:pt>
                <c:pt idx="194">
                  <c:v>53.820951530041988</c:v>
                </c:pt>
                <c:pt idx="195">
                  <c:v>54.316103114908834</c:v>
                </c:pt>
                <c:pt idx="196">
                  <c:v>54.812467896745439</c:v>
                </c:pt>
                <c:pt idx="197">
                  <c:v>55.310029415095968</c:v>
                </c:pt>
                <c:pt idx="198">
                  <c:v>55.808771216374751</c:v>
                </c:pt>
                <c:pt idx="199">
                  <c:v>56.308676854406237</c:v>
                </c:pt>
                <c:pt idx="200">
                  <c:v>56.809729890963162</c:v>
                </c:pt>
                <c:pt idx="201">
                  <c:v>57.31191389630284</c:v>
                </c:pt>
                <c:pt idx="202">
                  <c:v>57.81521244970174</c:v>
                </c:pt>
                <c:pt idx="203">
                  <c:v>58.319609139987982</c:v>
                </c:pt>
                <c:pt idx="204">
                  <c:v>58.82508756607227</c:v>
                </c:pt>
                <c:pt idx="205">
                  <c:v>59.331631337476594</c:v>
                </c:pt>
                <c:pt idx="206">
                  <c:v>59.839160717978451</c:v>
                </c:pt>
                <c:pt idx="207">
                  <c:v>60.347594878346989</c:v>
                </c:pt>
                <c:pt idx="208">
                  <c:v>60.856915838274418</c:v>
                </c:pt>
                <c:pt idx="209">
                  <c:v>61.367105639427535</c:v>
                </c:pt>
                <c:pt idx="210">
                  <c:v>61.87814634602546</c:v>
                </c:pt>
                <c:pt idx="211">
                  <c:v>62.390020045414659</c:v>
                </c:pt>
                <c:pt idx="212">
                  <c:v>62.902708848641247</c:v>
                </c:pt>
                <c:pt idx="213">
                  <c:v>63.416194891020155</c:v>
                </c:pt>
                <c:pt idx="214">
                  <c:v>63.930460332701671</c:v>
                </c:pt>
                <c:pt idx="215">
                  <c:v>64.445487359234747</c:v>
                </c:pt>
                <c:pt idx="216">
                  <c:v>64.961258182127551</c:v>
                </c:pt>
                <c:pt idx="217">
                  <c:v>65.477755039405025</c:v>
                </c:pt>
                <c:pt idx="218">
                  <c:v>65.994960196163248</c:v>
                </c:pt>
                <c:pt idx="219">
                  <c:v>66.512855945121018</c:v>
                </c:pt>
                <c:pt idx="220">
                  <c:v>67.031424607168148</c:v>
                </c:pt>
                <c:pt idx="221">
                  <c:v>67.550648531910824</c:v>
                </c:pt>
                <c:pt idx="222">
                  <c:v>68.070510098213717</c:v>
                </c:pt>
                <c:pt idx="223">
                  <c:v>68.590991714739175</c:v>
                </c:pt>
                <c:pt idx="224">
                  <c:v>69.112075820482943</c:v>
                </c:pt>
                <c:pt idx="225">
                  <c:v>69.633744885307124</c:v>
                </c:pt>
                <c:pt idx="226">
                  <c:v>70.155981410469451</c:v>
                </c:pt>
                <c:pt idx="227">
                  <c:v>70.678767929149657</c:v>
                </c:pt>
                <c:pt idx="228">
                  <c:v>71.20208700697269</c:v>
                </c:pt>
                <c:pt idx="229">
                  <c:v>71.725921242528173</c:v>
                </c:pt>
                <c:pt idx="230">
                  <c:v>72.250253267887288</c:v>
                </c:pt>
                <c:pt idx="231">
                  <c:v>72.775065749115626</c:v>
                </c:pt>
                <c:pt idx="232">
                  <c:v>73.300341386783202</c:v>
                </c:pt>
                <c:pt idx="233">
                  <c:v>73.826062916471088</c:v>
                </c:pt>
                <c:pt idx="234">
                  <c:v>74.352213109274146</c:v>
                </c:pt>
                <c:pt idx="235">
                  <c:v>74.878774772301284</c:v>
                </c:pt>
                <c:pt idx="236">
                  <c:v>75.405730749171525</c:v>
                </c:pt>
                <c:pt idx="237">
                  <c:v>75.933063920506996</c:v>
                </c:pt>
                <c:pt idx="238">
                  <c:v>76.460757204422336</c:v>
                </c:pt>
                <c:pt idx="239">
                  <c:v>76.988793557010922</c:v>
                </c:pt>
                <c:pt idx="240">
                  <c:v>77.517155972827169</c:v>
                </c:pt>
                <c:pt idx="241">
                  <c:v>78.045827485365834</c:v>
                </c:pt>
                <c:pt idx="242">
                  <c:v>78.574540771041526</c:v>
                </c:pt>
                <c:pt idx="243">
                  <c:v>79.103025123913184</c:v>
                </c:pt>
                <c:pt idx="244">
                  <c:v>79.631258711665538</c:v>
                </c:pt>
                <c:pt idx="245">
                  <c:v>80.159219784899918</c:v>
                </c:pt>
                <c:pt idx="246">
                  <c:v>80.686886677738073</c:v>
                </c:pt>
                <c:pt idx="247">
                  <c:v>81.214237808419085</c:v>
                </c:pt>
                <c:pt idx="248">
                  <c:v>81.741251679888848</c:v>
                </c:pt>
                <c:pt idx="249">
                  <c:v>82.267906880383208</c:v>
                </c:pt>
                <c:pt idx="250">
                  <c:v>82.794182084003481</c:v>
                </c:pt>
                <c:pt idx="251">
                  <c:v>83.320056051285135</c:v>
                </c:pt>
                <c:pt idx="252">
                  <c:v>83.845507629759794</c:v>
                </c:pt>
                <c:pt idx="253">
                  <c:v>84.370515754509441</c:v>
                </c:pt>
                <c:pt idx="254">
                  <c:v>84.89505944871452</c:v>
                </c:pt>
                <c:pt idx="255">
                  <c:v>85.419117824194075</c:v>
                </c:pt>
                <c:pt idx="256">
                  <c:v>85.942670081939454</c:v>
                </c:pt>
                <c:pt idx="257">
                  <c:v>86.465695512640778</c:v>
                </c:pt>
                <c:pt idx="258">
                  <c:v>86.988173497206049</c:v>
                </c:pt>
                <c:pt idx="259">
                  <c:v>87.510083507273933</c:v>
                </c:pt>
                <c:pt idx="260">
                  <c:v>88.031405105718534</c:v>
                </c:pt>
                <c:pt idx="261">
                  <c:v>88.552117947147906</c:v>
                </c:pt>
                <c:pt idx="262">
                  <c:v>89.072201778395154</c:v>
                </c:pt>
                <c:pt idx="263">
                  <c:v>89.59163643900223</c:v>
                </c:pt>
                <c:pt idx="264">
                  <c:v>90.110401861697284</c:v>
                </c:pt>
                <c:pt idx="265">
                  <c:v>90.628478072864283</c:v>
                </c:pt>
                <c:pt idx="266">
                  <c:v>91.145845193006267</c:v>
                </c:pt>
                <c:pt idx="267">
                  <c:v>91.662483437200791</c:v>
                </c:pt>
                <c:pt idx="268">
                  <c:v>92.178373115548951</c:v>
                </c:pt>
                <c:pt idx="269">
                  <c:v>92.693494633616979</c:v>
                </c:pt>
                <c:pt idx="270">
                  <c:v>93.207828492871073</c:v>
                </c:pt>
                <c:pt idx="271">
                  <c:v>93.721355291104985</c:v>
                </c:pt>
                <c:pt idx="272">
                  <c:v>94.234055722860589</c:v>
                </c:pt>
                <c:pt idx="273">
                  <c:v>94.745910579841677</c:v>
                </c:pt>
                <c:pt idx="274">
                  <c:v>95.256900751320316</c:v>
                </c:pt>
                <c:pt idx="275">
                  <c:v>95.767007224536798</c:v>
                </c:pt>
                <c:pt idx="276">
                  <c:v>96.276211085091759</c:v>
                </c:pt>
                <c:pt idx="277">
                  <c:v>96.784493517332265</c:v>
                </c:pt>
                <c:pt idx="278">
                  <c:v>97.291835804730241</c:v>
                </c:pt>
                <c:pt idx="279">
                  <c:v>97.798219330254113</c:v>
                </c:pt>
                <c:pt idx="280">
                  <c:v>98.303625576733666</c:v>
                </c:pt>
                <c:pt idx="281">
                  <c:v>98.808036127217704</c:v>
                </c:pt>
                <c:pt idx="282">
                  <c:v>99.311432665325128</c:v>
                </c:pt>
                <c:pt idx="283">
                  <c:v>99.813796975588616</c:v>
                </c:pt>
                <c:pt idx="284">
                  <c:v>100.31544204932624</c:v>
                </c:pt>
                <c:pt idx="285">
                  <c:v>100.81668425233273</c:v>
                </c:pt>
                <c:pt idx="286">
                  <c:v>101.3175103680735</c:v>
                </c:pt>
                <c:pt idx="287">
                  <c:v>101.81790723134604</c:v>
                </c:pt>
                <c:pt idx="288">
                  <c:v>102.3178617285303</c:v>
                </c:pt>
                <c:pt idx="289">
                  <c:v>102.81736079783508</c:v>
                </c:pt>
                <c:pt idx="290">
                  <c:v>103.31639142954141</c:v>
                </c:pt>
                <c:pt idx="291">
                  <c:v>103.81494066624293</c:v>
                </c:pt>
                <c:pt idx="292">
                  <c:v>104.31299560308237</c:v>
                </c:pt>
                <c:pt idx="293">
                  <c:v>104.81054338798542</c:v>
                </c:pt>
                <c:pt idx="294">
                  <c:v>105.30757122189033</c:v>
                </c:pt>
                <c:pt idx="295">
                  <c:v>105.80406635897572</c:v>
                </c:pt>
                <c:pt idx="296">
                  <c:v>106.30001610688338</c:v>
                </c:pt>
                <c:pt idx="297">
                  <c:v>106.79540782693917</c:v>
                </c:pt>
                <c:pt idx="298">
                  <c:v>107.29022893436979</c:v>
                </c:pt>
                <c:pt idx="299">
                  <c:v>107.78446689851664</c:v>
                </c:pt>
                <c:pt idx="300">
                  <c:v>108.27810924304646</c:v>
                </c:pt>
                <c:pt idx="301">
                  <c:v>108.7711435461584</c:v>
                </c:pt>
                <c:pt idx="302">
                  <c:v>109.26355744078806</c:v>
                </c:pt>
                <c:pt idx="303">
                  <c:v>109.75533861480811</c:v>
                </c:pt>
                <c:pt idx="304">
                  <c:v>110.24647481122599</c:v>
                </c:pt>
                <c:pt idx="305">
                  <c:v>110.73695382837781</c:v>
                </c:pt>
                <c:pt idx="306">
                  <c:v>111.22676352011936</c:v>
                </c:pt>
                <c:pt idx="307">
                  <c:v>111.71589179601403</c:v>
                </c:pt>
                <c:pt idx="308">
                  <c:v>112.20432662151693</c:v>
                </c:pt>
                <c:pt idx="309">
                  <c:v>112.69205601815628</c:v>
                </c:pt>
                <c:pt idx="310">
                  <c:v>113.17906806371155</c:v>
                </c:pt>
                <c:pt idx="311">
                  <c:v>113.66535089238786</c:v>
                </c:pt>
                <c:pt idx="312">
                  <c:v>114.1508926949881</c:v>
                </c:pt>
                <c:pt idx="313">
                  <c:v>114.63568171908048</c:v>
                </c:pt>
                <c:pt idx="314">
                  <c:v>115.11970626916457</c:v>
                </c:pt>
                <c:pt idx="315">
                  <c:v>115.60295470683239</c:v>
                </c:pt>
                <c:pt idx="316">
                  <c:v>116.08541545092802</c:v>
                </c:pt>
                <c:pt idx="317">
                  <c:v>116.56707697770243</c:v>
                </c:pt>
                <c:pt idx="318">
                  <c:v>117.04792782096622</c:v>
                </c:pt>
                <c:pt idx="319">
                  <c:v>117.52795657223911</c:v>
                </c:pt>
                <c:pt idx="320">
                  <c:v>118.00715188089528</c:v>
                </c:pt>
                <c:pt idx="321">
                  <c:v>118.48550245430717</c:v>
                </c:pt>
                <c:pt idx="322">
                  <c:v>118.96299705798452</c:v>
                </c:pt>
                <c:pt idx="323">
                  <c:v>119.43962451571163</c:v>
                </c:pt>
                <c:pt idx="324">
                  <c:v>119.9153737096804</c:v>
                </c:pt>
                <c:pt idx="325">
                  <c:v>120.3902335806209</c:v>
                </c:pt>
                <c:pt idx="326">
                  <c:v>120.86421537080102</c:v>
                </c:pt>
                <c:pt idx="327">
                  <c:v>121.33733054795066</c:v>
                </c:pt>
                <c:pt idx="328">
                  <c:v>121.80956846389047</c:v>
                </c:pt>
                <c:pt idx="329">
                  <c:v>122.28091852675732</c:v>
                </c:pt>
                <c:pt idx="330">
                  <c:v>122.75137020111985</c:v>
                </c:pt>
                <c:pt idx="331">
                  <c:v>123.22091300808978</c:v>
                </c:pt>
                <c:pt idx="332">
                  <c:v>123.68953652543159</c:v>
                </c:pt>
                <c:pt idx="333">
                  <c:v>124.15723038766828</c:v>
                </c:pt>
                <c:pt idx="334">
                  <c:v>124.62398428618543</c:v>
                </c:pt>
                <c:pt idx="335">
                  <c:v>125.08978796933094</c:v>
                </c:pt>
                <c:pt idx="336">
                  <c:v>125.55463124251335</c:v>
                </c:pt>
                <c:pt idx="337">
                  <c:v>126.01850396829609</c:v>
                </c:pt>
                <c:pt idx="338">
                  <c:v>126.48139606648991</c:v>
                </c:pt>
                <c:pt idx="339">
                  <c:v>126.94329751424139</c:v>
                </c:pt>
                <c:pt idx="340">
                  <c:v>127.40419834612001</c:v>
                </c:pt>
                <c:pt idx="341">
                  <c:v>127.86408865420104</c:v>
                </c:pt>
                <c:pt idx="342">
                  <c:v>128.32295858814635</c:v>
                </c:pt>
                <c:pt idx="343">
                  <c:v>128.78079835528246</c:v>
                </c:pt>
                <c:pt idx="344">
                  <c:v>129.23759822067561</c:v>
                </c:pt>
                <c:pt idx="345">
                  <c:v>129.69334850720404</c:v>
                </c:pt>
                <c:pt idx="346">
                  <c:v>130.14803959562752</c:v>
                </c:pt>
                <c:pt idx="347">
                  <c:v>130.60166192465434</c:v>
                </c:pt>
                <c:pt idx="348">
                  <c:v>131.05420599100563</c:v>
                </c:pt>
                <c:pt idx="349">
                  <c:v>131.50566234947621</c:v>
                </c:pt>
                <c:pt idx="350">
                  <c:v>131.95602161299362</c:v>
                </c:pt>
                <c:pt idx="351">
                  <c:v>132.40527445267435</c:v>
                </c:pt>
                <c:pt idx="352">
                  <c:v>132.85341159787643</c:v>
                </c:pt>
                <c:pt idx="353">
                  <c:v>133.30042383625081</c:v>
                </c:pt>
                <c:pt idx="354">
                  <c:v>133.74630201378895</c:v>
                </c:pt>
                <c:pt idx="355">
                  <c:v>134.19103703486817</c:v>
                </c:pt>
                <c:pt idx="356">
                  <c:v>134.63461986229436</c:v>
                </c:pt>
                <c:pt idx="357">
                  <c:v>135.077041517342</c:v>
                </c:pt>
                <c:pt idx="358">
                  <c:v>135.51829307979159</c:v>
                </c:pt>
                <c:pt idx="359">
                  <c:v>135.95836568796477</c:v>
                </c:pt>
                <c:pt idx="360">
                  <c:v>136.39725053875614</c:v>
                </c:pt>
                <c:pt idx="361">
                  <c:v>136.83493888766318</c:v>
                </c:pt>
                <c:pt idx="362">
                  <c:v>137.27142204881355</c:v>
                </c:pt>
                <c:pt idx="363">
                  <c:v>137.70669139498924</c:v>
                </c:pt>
                <c:pt idx="364">
                  <c:v>138.14073835764907</c:v>
                </c:pt>
                <c:pt idx="365">
                  <c:v>138.57355442694782</c:v>
                </c:pt>
                <c:pt idx="366">
                  <c:v>139.00573344280352</c:v>
                </c:pt>
                <c:pt idx="367">
                  <c:v>139.43787271420459</c:v>
                </c:pt>
                <c:pt idx="368">
                  <c:v>139.8699685958407</c:v>
                </c:pt>
                <c:pt idx="369">
                  <c:v>140.30201745109218</c:v>
                </c:pt>
                <c:pt idx="370">
                  <c:v>140.73401565207118</c:v>
                </c:pt>
                <c:pt idx="371">
                  <c:v>141.16595957966121</c:v>
                </c:pt>
                <c:pt idx="372">
                  <c:v>141.59784562355713</c:v>
                </c:pt>
                <c:pt idx="373">
                  <c:v>142.02967018230464</c:v>
                </c:pt>
                <c:pt idx="374">
                  <c:v>142.46142966333906</c:v>
                </c:pt>
                <c:pt idx="375">
                  <c:v>142.89312048302435</c:v>
                </c:pt>
                <c:pt idx="376">
                  <c:v>143.32473906669148</c:v>
                </c:pt>
                <c:pt idx="377">
                  <c:v>143.75628184867614</c:v>
                </c:pt>
                <c:pt idx="378">
                  <c:v>144.18774527235678</c:v>
                </c:pt>
                <c:pt idx="379">
                  <c:v>144.61912579019165</c:v>
                </c:pt>
                <c:pt idx="380">
                  <c:v>145.05041986375628</c:v>
                </c:pt>
                <c:pt idx="381">
                  <c:v>145.48095999546632</c:v>
                </c:pt>
                <c:pt idx="382">
                  <c:v>145.91007516185172</c:v>
                </c:pt>
                <c:pt idx="383">
                  <c:v>146.33775703243461</c:v>
                </c:pt>
                <c:pt idx="384">
                  <c:v>146.76399734168135</c:v>
                </c:pt>
                <c:pt idx="385">
                  <c:v>147.18878788898274</c:v>
                </c:pt>
                <c:pt idx="386">
                  <c:v>147.61212053863122</c:v>
                </c:pt>
                <c:pt idx="387">
                  <c:v>148.03398721979576</c:v>
                </c:pt>
                <c:pt idx="388">
                  <c:v>148.45437992649394</c:v>
                </c:pt>
                <c:pt idx="389">
                  <c:v>148.87329071756173</c:v>
                </c:pt>
                <c:pt idx="390">
                  <c:v>149.29071171662042</c:v>
                </c:pt>
                <c:pt idx="391">
                  <c:v>149.70663511204143</c:v>
                </c:pt>
                <c:pt idx="392">
                  <c:v>150.12105315690806</c:v>
                </c:pt>
                <c:pt idx="393">
                  <c:v>150.53395816897526</c:v>
                </c:pt>
                <c:pt idx="394">
                  <c:v>150.94534253062687</c:v>
                </c:pt>
                <c:pt idx="395">
                  <c:v>151.35519868882977</c:v>
                </c:pt>
                <c:pt idx="396">
                  <c:v>151.76351915508647</c:v>
                </c:pt>
                <c:pt idx="397">
                  <c:v>152.17029650538475</c:v>
                </c:pt>
                <c:pt idx="398">
                  <c:v>152.57552338014528</c:v>
                </c:pt>
                <c:pt idx="399">
                  <c:v>152.97919248416608</c:v>
                </c:pt>
                <c:pt idx="400">
                  <c:v>153.38129658656558</c:v>
                </c:pt>
                <c:pt idx="401">
                  <c:v>153.78129390396143</c:v>
                </c:pt>
                <c:pt idx="402">
                  <c:v>154.17864032006523</c:v>
                </c:pt>
                <c:pt idx="403">
                  <c:v>154.57332562135727</c:v>
                </c:pt>
                <c:pt idx="404">
                  <c:v>154.96533972934515</c:v>
                </c:pt>
                <c:pt idx="405">
                  <c:v>155.35467270032382</c:v>
                </c:pt>
                <c:pt idx="406">
                  <c:v>155.74131472513017</c:v>
                </c:pt>
                <c:pt idx="407">
                  <c:v>156.12525612889266</c:v>
                </c:pt>
                <c:pt idx="408">
                  <c:v>156.50648737077461</c:v>
                </c:pt>
                <c:pt idx="409">
                  <c:v>156.88499904371378</c:v>
                </c:pt>
                <c:pt idx="410">
                  <c:v>157.26078187415465</c:v>
                </c:pt>
                <c:pt idx="411">
                  <c:v>157.63084280053744</c:v>
                </c:pt>
                <c:pt idx="412">
                  <c:v>157.99217734792097</c:v>
                </c:pt>
                <c:pt idx="413">
                  <c:v>158.34476202567828</c:v>
                </c:pt>
                <c:pt idx="414">
                  <c:v>158.68857430761588</c:v>
                </c:pt>
                <c:pt idx="415">
                  <c:v>159.02359262885028</c:v>
                </c:pt>
                <c:pt idx="416">
                  <c:v>159.34979638261873</c:v>
                </c:pt>
                <c:pt idx="417">
                  <c:v>159.66716591702618</c:v>
                </c:pt>
                <c:pt idx="418">
                  <c:v>159.97568253172889</c:v>
                </c:pt>
                <c:pt idx="419">
                  <c:v>160.2753284745562</c:v>
                </c:pt>
                <c:pt idx="420">
                  <c:v>160.5643773650107</c:v>
                </c:pt>
                <c:pt idx="421">
                  <c:v>160.84109940019857</c:v>
                </c:pt>
                <c:pt idx="422">
                  <c:v>161.10547490898603</c:v>
                </c:pt>
                <c:pt idx="423">
                  <c:v>161.35748595155502</c:v>
                </c:pt>
                <c:pt idx="424">
                  <c:v>161.59711631231974</c:v>
                </c:pt>
                <c:pt idx="425">
                  <c:v>161.82435149271069</c:v>
                </c:pt>
                <c:pt idx="426">
                  <c:v>162.03917870382995</c:v>
                </c:pt>
                <c:pt idx="427">
                  <c:v>162.24158685898098</c:v>
                </c:pt>
                <c:pt idx="428">
                  <c:v>162.43156656607414</c:v>
                </c:pt>
                <c:pt idx="429">
                  <c:v>162.60911011991413</c:v>
                </c:pt>
                <c:pt idx="430">
                  <c:v>162.77421149436867</c:v>
                </c:pt>
                <c:pt idx="431">
                  <c:v>162.92686633442378</c:v>
                </c:pt>
                <c:pt idx="432">
                  <c:v>163.06430311934534</c:v>
                </c:pt>
                <c:pt idx="433">
                  <c:v>163.18375105625879</c:v>
                </c:pt>
                <c:pt idx="434">
                  <c:v>163.2852126486851</c:v>
                </c:pt>
                <c:pt idx="435">
                  <c:v>163.36869378844932</c:v>
                </c:pt>
                <c:pt idx="436">
                  <c:v>163.43420373777701</c:v>
                </c:pt>
                <c:pt idx="437">
                  <c:v>163.4817551110944</c:v>
                </c:pt>
                <c:pt idx="438">
                  <c:v>163.51136385654232</c:v>
                </c:pt>
                <c:pt idx="439">
                  <c:v>163.52304923721152</c:v>
                </c:pt>
                <c:pt idx="440">
                  <c:v>163.51683381210813</c:v>
                </c:pt>
                <c:pt idx="441">
                  <c:v>163.4927434168583</c:v>
                </c:pt>
                <c:pt idx="442">
                  <c:v>163.452487340087</c:v>
                </c:pt>
                <c:pt idx="443">
                  <c:v>163.3977744789596</c:v>
                </c:pt>
                <c:pt idx="444">
                  <c:v>163.32863291257914</c:v>
                </c:pt>
                <c:pt idx="445">
                  <c:v>163.24509281790981</c:v>
                </c:pt>
                <c:pt idx="446">
                  <c:v>163.14718645641543</c:v>
                </c:pt>
                <c:pt idx="447">
                  <c:v>163.03494816059609</c:v>
                </c:pt>
                <c:pt idx="448">
                  <c:v>162.90841432042868</c:v>
                </c:pt>
                <c:pt idx="449">
                  <c:v>162.76762336971447</c:v>
                </c:pt>
                <c:pt idx="450">
                  <c:v>162.61261577233952</c:v>
                </c:pt>
                <c:pt idx="451">
                  <c:v>162.44343400845054</c:v>
                </c:pt>
                <c:pt idx="452">
                  <c:v>162.26012256055222</c:v>
                </c:pt>
                <c:pt idx="453">
                  <c:v>162.06511892895179</c:v>
                </c:pt>
                <c:pt idx="454">
                  <c:v>161.86085243607022</c:v>
                </c:pt>
                <c:pt idx="455">
                  <c:v>161.64735571707544</c:v>
                </c:pt>
                <c:pt idx="456">
                  <c:v>161.42466223501378</c:v>
                </c:pt>
                <c:pt idx="457">
                  <c:v>161.19280627472307</c:v>
                </c:pt>
                <c:pt idx="458">
                  <c:v>160.95182293674338</c:v>
                </c:pt>
                <c:pt idx="459">
                  <c:v>160.70174813122722</c:v>
                </c:pt>
                <c:pt idx="460">
                  <c:v>160.44261857184998</c:v>
                </c:pt>
                <c:pt idx="461">
                  <c:v>160.17660822573859</c:v>
                </c:pt>
                <c:pt idx="462">
                  <c:v>159.90588075701589</c:v>
                </c:pt>
                <c:pt idx="463">
                  <c:v>159.63045666386139</c:v>
                </c:pt>
                <c:pt idx="464">
                  <c:v>159.35035664354103</c:v>
                </c:pt>
                <c:pt idx="465">
                  <c:v>159.065601590791</c:v>
                </c:pt>
                <c:pt idx="466">
                  <c:v>158.77442696554888</c:v>
                </c:pt>
                <c:pt idx="467">
                  <c:v>158.47507831617202</c:v>
                </c:pt>
                <c:pt idx="468">
                  <c:v>158.1477525054317</c:v>
                </c:pt>
                <c:pt idx="469">
                  <c:v>157.79701965681673</c:v>
                </c:pt>
                <c:pt idx="470">
                  <c:v>157.44721880078097</c:v>
                </c:pt>
                <c:pt idx="471">
                  <c:v>157.09834667088555</c:v>
                </c:pt>
                <c:pt idx="472">
                  <c:v>156.75040001520995</c:v>
                </c:pt>
                <c:pt idx="473">
                  <c:v>156.40337559627463</c:v>
                </c:pt>
                <c:pt idx="474">
                  <c:v>156.05727019096352</c:v>
                </c:pt>
                <c:pt idx="475">
                  <c:v>155.7120805904473</c:v>
                </c:pt>
                <c:pt idx="476">
                  <c:v>155.36780360010698</c:v>
                </c:pt>
                <c:pt idx="477">
                  <c:v>155.02443603945835</c:v>
                </c:pt>
                <c:pt idx="478">
                  <c:v>154.68197474207611</c:v>
                </c:pt>
                <c:pt idx="479">
                  <c:v>154.3404165555196</c:v>
                </c:pt>
                <c:pt idx="480">
                  <c:v>153.99975834125789</c:v>
                </c:pt>
                <c:pt idx="481">
                  <c:v>153.65999697459603</c:v>
                </c:pt>
                <c:pt idx="482">
                  <c:v>153.32112934460153</c:v>
                </c:pt>
                <c:pt idx="483">
                  <c:v>152.9831523540312</c:v>
                </c:pt>
                <c:pt idx="484">
                  <c:v>152.64606291925881</c:v>
                </c:pt>
                <c:pt idx="485">
                  <c:v>152.30985797020278</c:v>
                </c:pt>
                <c:pt idx="486">
                  <c:v>151.97453445025451</c:v>
                </c:pt>
                <c:pt idx="487">
                  <c:v>151.64008931620702</c:v>
                </c:pt>
                <c:pt idx="488">
                  <c:v>151.30651953818443</c:v>
                </c:pt>
                <c:pt idx="489">
                  <c:v>150.97382209957135</c:v>
                </c:pt>
                <c:pt idx="490">
                  <c:v>150.64199399694317</c:v>
                </c:pt>
                <c:pt idx="491">
                  <c:v>150.31103223999602</c:v>
                </c:pt>
                <c:pt idx="492">
                  <c:v>149.98093385147871</c:v>
                </c:pt>
                <c:pt idx="493">
                  <c:v>149.65169586712301</c:v>
                </c:pt>
                <c:pt idx="494">
                  <c:v>149.32331533557604</c:v>
                </c:pt>
                <c:pt idx="495">
                  <c:v>148.99578931833238</c:v>
                </c:pt>
                <c:pt idx="496">
                  <c:v>148.66911488966664</c:v>
                </c:pt>
                <c:pt idx="497">
                  <c:v>148.34328913656628</c:v>
                </c:pt>
                <c:pt idx="498">
                  <c:v>148.01830915866555</c:v>
                </c:pt>
                <c:pt idx="499">
                  <c:v>147.69417206817891</c:v>
                </c:pt>
                <c:pt idx="500">
                  <c:v>147.37087498983536</c:v>
                </c:pt>
                <c:pt idx="501">
                  <c:v>144.16694618180804</c:v>
                </c:pt>
                <c:pt idx="502">
                  <c:v>141.04496489337748</c:v>
                </c:pt>
                <c:pt idx="503">
                  <c:v>138.00219432263987</c:v>
                </c:pt>
                <c:pt idx="504">
                  <c:v>135.03601295133251</c:v>
                </c:pt>
                <c:pt idx="505">
                  <c:v>132.14390873448622</c:v>
                </c:pt>
                <c:pt idx="506">
                  <c:v>129.32347363076033</c:v>
                </c:pt>
                <c:pt idx="507">
                  <c:v>126.57239845073592</c:v>
                </c:pt>
                <c:pt idx="508">
                  <c:v>123.88846800214063</c:v>
                </c:pt>
                <c:pt idx="509">
                  <c:v>121.26955651253292</c:v>
                </c:pt>
                <c:pt idx="510">
                  <c:v>118.71362331140446</c:v>
                </c:pt>
                <c:pt idx="511">
                  <c:v>116.21870875497072</c:v>
                </c:pt>
                <c:pt idx="512">
                  <c:v>113.78293037812909</c:v>
                </c:pt>
                <c:pt idx="513">
                  <c:v>111.40447925917374</c:v>
                </c:pt>
                <c:pt idx="514">
                  <c:v>109.08161658388126</c:v>
                </c:pt>
                <c:pt idx="515">
                  <c:v>106.81267039652225</c:v>
                </c:pt>
                <c:pt idx="516">
                  <c:v>104.59603252622607</c:v>
                </c:pt>
                <c:pt idx="517">
                  <c:v>102.4301556779257</c:v>
                </c:pt>
                <c:pt idx="518">
                  <c:v>100.31355067785344</c:v>
                </c:pt>
                <c:pt idx="519">
                  <c:v>98.244783864239821</c:v>
                </c:pt>
                <c:pt idx="520">
                  <c:v>96.222474614504591</c:v>
                </c:pt>
                <c:pt idx="521">
                  <c:v>94.24529300081015</c:v>
                </c:pt>
                <c:pt idx="522">
                  <c:v>92.311957566394327</c:v>
                </c:pt>
                <c:pt idx="523">
                  <c:v>90.421233215596729</c:v>
                </c:pt>
                <c:pt idx="524">
                  <c:v>88.571929210963276</c:v>
                </c:pt>
                <c:pt idx="525">
                  <c:v>86.762897271240504</c:v>
                </c:pt>
                <c:pt idx="526">
                  <c:v>84.993029764474727</c:v>
                </c:pt>
                <c:pt idx="527">
                  <c:v>83.261257990801838</c:v>
                </c:pt>
                <c:pt idx="528">
                  <c:v>81.56655054985896</c:v>
                </c:pt>
                <c:pt idx="529">
                  <c:v>79.90791178806947</c:v>
                </c:pt>
                <c:pt idx="530">
                  <c:v>78.284380321353552</c:v>
                </c:pt>
                <c:pt idx="531">
                  <c:v>76.695027629091058</c:v>
                </c:pt>
                <c:pt idx="532">
                  <c:v>75.13895671542528</c:v>
                </c:pt>
                <c:pt idx="533">
                  <c:v>73.615300834234475</c:v>
                </c:pt>
                <c:pt idx="534">
                  <c:v>72.123222274324092</c:v>
                </c:pt>
                <c:pt idx="535">
                  <c:v>70.661911201601157</c:v>
                </c:pt>
                <c:pt idx="536">
                  <c:v>69.230584555187747</c:v>
                </c:pt>
                <c:pt idx="537">
                  <c:v>67.828484994612438</c:v>
                </c:pt>
                <c:pt idx="538">
                  <c:v>66.454879895389368</c:v>
                </c:pt>
                <c:pt idx="539">
                  <c:v>65.109060390452441</c:v>
                </c:pt>
                <c:pt idx="540">
                  <c:v>63.790340455062214</c:v>
                </c:pt>
                <c:pt idx="541">
                  <c:v>62.498056032940042</c:v>
                </c:pt>
                <c:pt idx="542">
                  <c:v>61.231564201516107</c:v>
                </c:pt>
                <c:pt idx="543">
                  <c:v>59.990242374297786</c:v>
                </c:pt>
                <c:pt idx="544">
                  <c:v>58.773487538479642</c:v>
                </c:pt>
                <c:pt idx="545">
                  <c:v>57.580715526022971</c:v>
                </c:pt>
                <c:pt idx="546">
                  <c:v>56.411360316532495</c:v>
                </c:pt>
                <c:pt idx="547">
                  <c:v>55.264873370351708</c:v>
                </c:pt>
                <c:pt idx="548">
                  <c:v>54.140722990386003</c:v>
                </c:pt>
                <c:pt idx="549">
                  <c:v>53.038393711246222</c:v>
                </c:pt>
                <c:pt idx="550">
                  <c:v>51.957385714380983</c:v>
                </c:pt>
                <c:pt idx="551">
                  <c:v>50.897214267940797</c:v>
                </c:pt>
                <c:pt idx="552">
                  <c:v>49.857409190183738</c:v>
                </c:pt>
                <c:pt idx="553">
                  <c:v>48.837514335297442</c:v>
                </c:pt>
                <c:pt idx="554">
                  <c:v>47.837087100573022</c:v>
                </c:pt>
                <c:pt idx="555">
                  <c:v>46.85569795392162</c:v>
                </c:pt>
                <c:pt idx="556">
                  <c:v>45.892929980780124</c:v>
                </c:pt>
                <c:pt idx="557">
                  <c:v>44.948378449500439</c:v>
                </c:pt>
                <c:pt idx="558">
                  <c:v>44.02165039436634</c:v>
                </c:pt>
                <c:pt idx="559">
                  <c:v>43.112364215424776</c:v>
                </c:pt>
                <c:pt idx="560">
                  <c:v>42.220149294361256</c:v>
                </c:pt>
                <c:pt idx="561">
                  <c:v>41.344645625689346</c:v>
                </c:pt>
                <c:pt idx="562">
                  <c:v>40.485503462559812</c:v>
                </c:pt>
                <c:pt idx="563">
                  <c:v>39.64238297653236</c:v>
                </c:pt>
                <c:pt idx="564">
                  <c:v>38.814953930684645</c:v>
                </c:pt>
                <c:pt idx="565">
                  <c:v>38.002895365465072</c:v>
                </c:pt>
                <c:pt idx="566">
                  <c:v>37.205895296726396</c:v>
                </c:pt>
                <c:pt idx="567">
                  <c:v>36.423650425403302</c:v>
                </c:pt>
                <c:pt idx="568">
                  <c:v>35.655865858326024</c:v>
                </c:pt>
                <c:pt idx="569">
                  <c:v>34.902254839684709</c:v>
                </c:pt>
                <c:pt idx="570">
                  <c:v>34.162538492684938</c:v>
                </c:pt>
                <c:pt idx="571">
                  <c:v>33.436445570955506</c:v>
                </c:pt>
                <c:pt idx="572">
                  <c:v>32.723712219292196</c:v>
                </c:pt>
                <c:pt idx="573">
                  <c:v>32.024081743340069</c:v>
                </c:pt>
                <c:pt idx="574">
                  <c:v>31.337304387836824</c:v>
                </c:pt>
                <c:pt idx="575">
                  <c:v>30.663137123057016</c:v>
                </c:pt>
                <c:pt idx="576">
                  <c:v>30.001343439114134</c:v>
                </c:pt>
                <c:pt idx="577">
                  <c:v>29.351693147794041</c:v>
                </c:pt>
                <c:pt idx="578">
                  <c:v>28.713962191607976</c:v>
                </c:pt>
                <c:pt idx="579">
                  <c:v>28.087932459768169</c:v>
                </c:pt>
                <c:pt idx="580">
                  <c:v>27.473391610802974</c:v>
                </c:pt>
                <c:pt idx="581">
                  <c:v>26.870132901540877</c:v>
                </c:pt>
                <c:pt idx="582">
                  <c:v>26.277955022206029</c:v>
                </c:pt>
                <c:pt idx="583">
                  <c:v>25.696661937378696</c:v>
                </c:pt>
                <c:pt idx="584">
                  <c:v>25.126062732585904</c:v>
                </c:pt>
                <c:pt idx="585">
                  <c:v>24.565971466297825</c:v>
                </c:pt>
                <c:pt idx="586">
                  <c:v>24.016207027115463</c:v>
                </c:pt>
                <c:pt idx="587">
                  <c:v>23.476592995944973</c:v>
                </c:pt>
                <c:pt idx="588">
                  <c:v>22.946957512962708</c:v>
                </c:pt>
                <c:pt idx="589">
                  <c:v>22.427133149184026</c:v>
                </c:pt>
                <c:pt idx="590">
                  <c:v>21.916956782456865</c:v>
                </c:pt>
                <c:pt idx="591">
                  <c:v>21.416269477708855</c:v>
                </c:pt>
                <c:pt idx="592">
                  <c:v>20.924916371284567</c:v>
                </c:pt>
                <c:pt idx="593">
                  <c:v>20.442746559215752</c:v>
                </c:pt>
                <c:pt idx="594">
                  <c:v>19.969612989275078</c:v>
                </c:pt>
                <c:pt idx="595">
                  <c:v>19.505372356669429</c:v>
                </c:pt>
                <c:pt idx="596">
                  <c:v>19.049885003235389</c:v>
                </c:pt>
                <c:pt idx="597">
                  <c:v>18.603014820005132</c:v>
                </c:pt>
                <c:pt idx="598">
                  <c:v>18.164629153016541</c:v>
                </c:pt>
                <c:pt idx="599">
                  <c:v>17.734598712246296</c:v>
                </c:pt>
                <c:pt idx="600">
                  <c:v>17.312797483550217</c:v>
                </c:pt>
                <c:pt idx="601">
                  <c:v>16.89910264349928</c:v>
                </c:pt>
                <c:pt idx="602">
                  <c:v>16.493394477004596</c:v>
                </c:pt>
                <c:pt idx="603">
                  <c:v>16.095556297628939</c:v>
                </c:pt>
                <c:pt idx="604">
                  <c:v>15.705474370486245</c:v>
                </c:pt>
                <c:pt idx="605">
                  <c:v>15.323037837634601</c:v>
                </c:pt>
                <c:pt idx="606">
                  <c:v>14.948138645871911</c:v>
                </c:pt>
                <c:pt idx="607">
                  <c:v>14.580671476846934</c:v>
                </c:pt>
                <c:pt idx="608">
                  <c:v>14.220533679401576</c:v>
                </c:pt>
                <c:pt idx="609">
                  <c:v>13.867625204063778</c:v>
                </c:pt>
                <c:pt idx="610">
                  <c:v>13.521848539613117</c:v>
                </c:pt>
                <c:pt idx="611">
                  <c:v>13.183108651644238</c:v>
                </c:pt>
                <c:pt idx="612">
                  <c:v>12.851312923055831</c:v>
                </c:pt>
                <c:pt idx="613">
                  <c:v>12.526371096395701</c:v>
                </c:pt>
                <c:pt idx="614">
                  <c:v>12.208195217994453</c:v>
                </c:pt>
                <c:pt idx="615">
                  <c:v>11.896699583823189</c:v>
                </c:pt>
                <c:pt idx="616">
                  <c:v>11.591800687012341</c:v>
                </c:pt>
                <c:pt idx="617">
                  <c:v>11.293417166971068</c:v>
                </c:pt>
                <c:pt idx="618">
                  <c:v>11.001469760048444</c:v>
                </c:pt>
                <c:pt idx="619">
                  <c:v>10.715881251679685</c:v>
                </c:pt>
                <c:pt idx="620">
                  <c:v>10.436576429962038</c:v>
                </c:pt>
                <c:pt idx="621">
                  <c:v>10.163482040607008</c:v>
                </c:pt>
                <c:pt idx="622">
                  <c:v>9.8965267432165813</c:v>
                </c:pt>
                <c:pt idx="623">
                  <c:v>9.6356410688329301</c:v>
                </c:pt>
                <c:pt idx="624">
                  <c:v>9.3807573787120777</c:v>
                </c:pt>
                <c:pt idx="625">
                  <c:v>9.1318098242733896</c:v>
                </c:pt>
                <c:pt idx="626">
                  <c:v>8.8887343081775576</c:v>
                </c:pt>
                <c:pt idx="627">
                  <c:v>8.6514684464870921</c:v>
                </c:pt>
                <c:pt idx="628">
                  <c:v>8.4199515318638802</c:v>
                </c:pt>
                <c:pt idx="629">
                  <c:v>8.1941244977593861</c:v>
                </c:pt>
                <c:pt idx="630">
                  <c:v>7.9739298835536401</c:v>
                </c:pt>
                <c:pt idx="631">
                  <c:v>7.759311800599793</c:v>
                </c:pt>
                <c:pt idx="632">
                  <c:v>7.5502158991316115</c:v>
                </c:pt>
                <c:pt idx="633">
                  <c:v>7.3465893359915189</c:v>
                </c:pt>
                <c:pt idx="634">
                  <c:v>7.1483807431373636</c:v>
                </c:pt>
                <c:pt idx="635">
                  <c:v>6.9555401968861261</c:v>
                </c:pt>
                <c:pt idx="636">
                  <c:v>6.7680191878531151</c:v>
                </c:pt>
                <c:pt idx="637">
                  <c:v>6.5857705915452431</c:v>
                </c:pt>
                <c:pt idx="638">
                  <c:v>6.4087486395669169</c:v>
                </c:pt>
                <c:pt idx="639">
                  <c:v>6.2369088913972268</c:v>
                </c:pt>
                <c:pt idx="640">
                  <c:v>6.0702082066968659</c:v>
                </c:pt>
                <c:pt idx="641">
                  <c:v>5.9086047181031134</c:v>
                </c:pt>
                <c:pt idx="642">
                  <c:v>5.7520578044710788</c:v>
                </c:pt>
                <c:pt idx="643">
                  <c:v>5.6005280645191835</c:v>
                </c:pt>
                <c:pt idx="644">
                  <c:v>5.4539772908365887</c:v>
                </c:pt>
                <c:pt idx="645">
                  <c:v>5.3123684442101586</c:v>
                </c:pt>
                <c:pt idx="646">
                  <c:v>5.1756656282283275</c:v>
                </c:pt>
                <c:pt idx="647">
                  <c:v>5.0438340641190962</c:v>
                </c:pt>
                <c:pt idx="648">
                  <c:v>4.9168400657793345</c:v>
                </c:pt>
                <c:pt idx="649">
                  <c:v>4.7946510149526365</c:v>
                </c:pt>
                <c:pt idx="650">
                  <c:v>4.6772353365131334</c:v>
                </c:pt>
                <c:pt idx="651">
                  <c:v>4.5645624738129946</c:v>
                </c:pt>
                <c:pt idx="652">
                  <c:v>4.4566028640519013</c:v>
                </c:pt>
                <c:pt idx="653">
                  <c:v>4.3533279136276013</c:v>
                </c:pt>
                <c:pt idx="654">
                  <c:v>4.2547099734276514</c:v>
                </c:pt>
                <c:pt idx="655">
                  <c:v>4.1607223140238982</c:v>
                </c:pt>
                <c:pt idx="656">
                  <c:v>4.0713391007329305</c:v>
                </c:pt>
                <c:pt idx="657">
                  <c:v>3.9865353685079565</c:v>
                </c:pt>
                <c:pt idx="658">
                  <c:v>3.9062869966300964</c:v>
                </c:pt>
                <c:pt idx="659">
                  <c:v>3.8305706831700697</c:v>
                </c:pt>
                <c:pt idx="660">
                  <c:v>3.7593639191949269</c:v>
                </c:pt>
                <c:pt idx="661">
                  <c:v>3.6926449626983811</c:v>
                </c:pt>
                <c:pt idx="662">
                  <c:v>3.6303928122378859</c:v>
                </c:pt>
                <c:pt idx="663">
                  <c:v>3.5725871802666598</c:v>
                </c:pt>
                <c:pt idx="664">
                  <c:v>3.5192084661543648</c:v>
                </c:pt>
                <c:pt idx="665">
                  <c:v>3.4702377288960666</c:v>
                </c:pt>
                <c:pt idx="666">
                  <c:v>3.4256566595154672</c:v>
                </c:pt>
                <c:pt idx="667">
                  <c:v>3.385447553174977</c:v>
                </c:pt>
                <c:pt idx="668">
                  <c:v>3.3495932810120554</c:v>
                </c:pt>
                <c:pt idx="669">
                  <c:v>3.3180772617281096</c:v>
                </c:pt>
                <c:pt idx="670">
                  <c:v>3.2908834329631804</c:v>
                </c:pt>
                <c:pt idx="671">
                  <c:v>3.2679962224962629</c:v>
                </c:pt>
                <c:pt idx="672">
                  <c:v>3.249400519317581</c:v>
                </c:pt>
                <c:pt idx="673">
                  <c:v>3.2350816446249895</c:v>
                </c:pt>
                <c:pt idx="674">
                  <c:v>3.2250253228020096</c:v>
                </c:pt>
                <c:pt idx="675">
                  <c:v>3.219217652439589</c:v>
                </c:pt>
                <c:pt idx="676">
                  <c:v>3.2176450774673619</c:v>
                </c:pt>
                <c:pt idx="677">
                  <c:v>3.2202943584629362</c:v>
                </c:pt>
                <c:pt idx="678">
                  <c:v>3.2271525442094635</c:v>
                </c:pt>
                <c:pt idx="679">
                  <c:v>3.2382069435723544</c:v>
                </c:pt>
                <c:pt idx="680">
                  <c:v>3.2534450977655811</c:v>
                </c:pt>
                <c:pt idx="681">
                  <c:v>3.272854753076452</c:v>
                </c:pt>
                <c:pt idx="682">
                  <c:v>3.2964238341151764</c:v>
                </c:pt>
                <c:pt idx="683">
                  <c:v>3.3241404176520839</c:v>
                </c:pt>
                <c:pt idx="684">
                  <c:v>3.3559927071009721</c:v>
                </c:pt>
                <c:pt idx="685">
                  <c:v>3.3919690077019693</c:v>
                </c:pt>
                <c:pt idx="686">
                  <c:v>3.4320577024517398</c:v>
                </c:pt>
                <c:pt idx="687">
                  <c:v>3.4762472288226451</c:v>
                </c:pt>
                <c:pt idx="688">
                  <c:v>3.5245260563061902</c:v>
                </c:pt>
                <c:pt idx="689">
                  <c:v>3.576882664809498</c:v>
                </c:pt>
                <c:pt idx="690">
                  <c:v>3.6333055239270746</c:v>
                </c:pt>
                <c:pt idx="691">
                  <c:v>3.6937830731036572</c:v>
                </c:pt>
                <c:pt idx="692">
                  <c:v>3.7583037026978423</c:v>
                </c:pt>
                <c:pt idx="693">
                  <c:v>3.82685573595024</c:v>
                </c:pt>
                <c:pt idx="694">
                  <c:v>3.8994274118545564</c:v>
                </c:pt>
                <c:pt idx="695">
                  <c:v>3.976006868924912</c:v>
                </c:pt>
                <c:pt idx="696">
                  <c:v>4.056582129848322</c:v>
                </c:pt>
                <c:pt idx="697">
                  <c:v>4.1411410870071839</c:v>
                </c:pt>
                <c:pt idx="698">
                  <c:v>4.2296714888532803</c:v>
                </c:pt>
                <c:pt idx="699">
                  <c:v>4.322160927111792</c:v>
                </c:pt>
                <c:pt idx="700">
                  <c:v>4.4185968247914946</c:v>
                </c:pt>
                <c:pt idx="701">
                  <c:v>4.518966424975309</c:v>
                </c:pt>
                <c:pt idx="702">
                  <c:v>4.623256780363949</c:v>
                </c:pt>
                <c:pt idx="703">
                  <c:v>4.7314547435443037</c:v>
                </c:pt>
                <c:pt idx="704">
                  <c:v>4.8435469579535297</c:v>
                </c:pt>
                <c:pt idx="705">
                  <c:v>4.9595198495094648</c:v>
                </c:pt>
                <c:pt idx="706">
                  <c:v>5.0793596188778896</c:v>
                </c:pt>
                <c:pt idx="707">
                  <c:v>5.2030522343473633</c:v>
                </c:pt>
                <c:pt idx="708">
                  <c:v>5.3305834252827973</c:v>
                </c:pt>
                <c:pt idx="709">
                  <c:v>5.4619386761294155</c:v>
                </c:pt>
                <c:pt idx="710">
                  <c:v>5.5971032209396103</c:v>
                </c:pt>
                <c:pt idx="711">
                  <c:v>5.7360620383959224</c:v>
                </c:pt>
                <c:pt idx="712">
                  <c:v>5.8787998473044212</c:v>
                </c:pt>
                <c:pt idx="713">
                  <c:v>6.0253011025336374</c:v>
                </c:pt>
                <c:pt idx="714">
                  <c:v>6.1755499913753935</c:v>
                </c:pt>
                <c:pt idx="715">
                  <c:v>6.3295304303048354</c:v>
                </c:pt>
                <c:pt idx="716">
                  <c:v>6.4872260621180446</c:v>
                </c:pt>
                <c:pt idx="717">
                  <c:v>6.6486202534268806</c:v>
                </c:pt>
                <c:pt idx="718">
                  <c:v>6.8136960924914751</c:v>
                </c:pt>
                <c:pt idx="719">
                  <c:v>6.9824363873721706</c:v>
                </c:pt>
                <c:pt idx="720">
                  <c:v>7.154823664383442</c:v>
                </c:pt>
                <c:pt idx="721">
                  <c:v>7.3308401668335836</c:v>
                </c:pt>
                <c:pt idx="722">
                  <c:v>7.5104678540346832</c:v>
                </c:pt>
                <c:pt idx="723">
                  <c:v>7.6936884005684991</c:v>
                </c:pt>
                <c:pt idx="724">
                  <c:v>7.880483195794568</c:v>
                </c:pt>
                <c:pt idx="725">
                  <c:v>8.070833343587946</c:v>
                </c:pt>
                <c:pt idx="726">
                  <c:v>8.2647196622944659</c:v>
                </c:pt>
                <c:pt idx="727">
                  <c:v>8.4621226848923765</c:v>
                </c:pt>
                <c:pt idx="728">
                  <c:v>8.6630226593499309</c:v>
                </c:pt>
                <c:pt idx="729">
                  <c:v>8.8673995491689297</c:v>
                </c:pt>
                <c:pt idx="730">
                  <c:v>9.0752330341052208</c:v>
                </c:pt>
                <c:pt idx="731">
                  <c:v>9.286502511057332</c:v>
                </c:pt>
                <c:pt idx="732">
                  <c:v>9.5011870951153181</c:v>
                </c:pt>
                <c:pt idx="733">
                  <c:v>9.7192656207622026</c:v>
                </c:pt>
                <c:pt idx="734">
                  <c:v>9.9407166432209095</c:v>
                </c:pt>
                <c:pt idx="735">
                  <c:v>10.165518439940163</c:v>
                </c:pt>
                <c:pt idx="736">
                  <c:v>10.393649012212986</c:v>
                </c:pt>
                <c:pt idx="737">
                  <c:v>10.625086086922142</c:v>
                </c:pt>
                <c:pt idx="738">
                  <c:v>10.859807118406923</c:v>
                </c:pt>
                <c:pt idx="739">
                  <c:v>11.097789290446249</c:v>
                </c:pt>
                <c:pt idx="740">
                  <c:v>11.339009518353176</c:v>
                </c:pt>
                <c:pt idx="741">
                  <c:v>11.583444451176394</c:v>
                </c:pt>
                <c:pt idx="742">
                  <c:v>11.831070474004338</c:v>
                </c:pt>
                <c:pt idx="743">
                  <c:v>12.081863710367973</c:v>
                </c:pt>
                <c:pt idx="744">
                  <c:v>12.335800024738498</c:v>
                </c:pt>
                <c:pt idx="745">
                  <c:v>12.592855025116288</c:v>
                </c:pt>
                <c:pt idx="746">
                  <c:v>12.853004065707806</c:v>
                </c:pt>
                <c:pt idx="747">
                  <c:v>13.116222249687251</c:v>
                </c:pt>
                <c:pt idx="748">
                  <c:v>13.382484432039917</c:v>
                </c:pt>
                <c:pt idx="749">
                  <c:v>13.651765222484427</c:v>
                </c:pt>
                <c:pt idx="750">
                  <c:v>13.924038988471048</c:v>
                </c:pt>
                <c:pt idx="751">
                  <c:v>14.199279858253577</c:v>
                </c:pt>
                <c:pt idx="752">
                  <c:v>14.477461724032262</c:v>
                </c:pt>
                <c:pt idx="753">
                  <c:v>14.758558245165437</c:v>
                </c:pt>
                <c:pt idx="754">
                  <c:v>15.042542851447616</c:v>
                </c:pt>
                <c:pt idx="755">
                  <c:v>15.329388746451801</c:v>
                </c:pt>
                <c:pt idx="756">
                  <c:v>15.619068910934113</c:v>
                </c:pt>
                <c:pt idx="757">
                  <c:v>15.911556106298505</c:v>
                </c:pt>
                <c:pt idx="758">
                  <c:v>16.206822878119947</c:v>
                </c:pt>
                <c:pt idx="759">
                  <c:v>16.504841559723847</c:v>
                </c:pt>
                <c:pt idx="760">
                  <c:v>16.805584275820312</c:v>
                </c:pt>
                <c:pt idx="761">
                  <c:v>17.109022946191189</c:v>
                </c:pt>
                <c:pt idx="762">
                  <c:v>17.415129289428503</c:v>
                </c:pt>
                <c:pt idx="763">
                  <c:v>17.723874826722309</c:v>
                </c:pt>
                <c:pt idx="764">
                  <c:v>18.035230885696777</c:v>
                </c:pt>
                <c:pt idx="765">
                  <c:v>18.349168604292544</c:v>
                </c:pt>
                <c:pt idx="766">
                  <c:v>18.665658934694168</c:v>
                </c:pt>
                <c:pt idx="767">
                  <c:v>18.984672647301025</c:v>
                </c:pt>
                <c:pt idx="768">
                  <c:v>19.306180334740162</c:v>
                </c:pt>
                <c:pt idx="769">
                  <c:v>19.630152415919813</c:v>
                </c:pt>
                <c:pt idx="770">
                  <c:v>19.956559140122124</c:v>
                </c:pt>
                <c:pt idx="771">
                  <c:v>20.285370591133617</c:v>
                </c:pt>
                <c:pt idx="772">
                  <c:v>20.616556691412246</c:v>
                </c:pt>
                <c:pt idx="773">
                  <c:v>20.950087206289432</c:v>
                </c:pt>
                <c:pt idx="774">
                  <c:v>21.285931748206043</c:v>
                </c:pt>
                <c:pt idx="775">
                  <c:v>21.624059780980762</c:v>
                </c:pt>
                <c:pt idx="776">
                  <c:v>21.964440624109642</c:v>
                </c:pt>
                <c:pt idx="777">
                  <c:v>22.307043457095737</c:v>
                </c:pt>
                <c:pt idx="778">
                  <c:v>22.651837323807115</c:v>
                </c:pt>
                <c:pt idx="779">
                  <c:v>22.998791136862462</c:v>
                </c:pt>
                <c:pt idx="780">
                  <c:v>23.347873682042675</c:v>
                </c:pt>
                <c:pt idx="781">
                  <c:v>23.699053622727405</c:v>
                </c:pt>
                <c:pt idx="782">
                  <c:v>24.052299504355119</c:v>
                </c:pt>
                <c:pt idx="783">
                  <c:v>24.407579758905612</c:v>
                </c:pt>
                <c:pt idx="784">
                  <c:v>24.764862709403694</c:v>
                </c:pt>
                <c:pt idx="785">
                  <c:v>25.124116574442699</c:v>
                </c:pt>
                <c:pt idx="786">
                  <c:v>25.485309472726794</c:v>
                </c:pt>
                <c:pt idx="787">
                  <c:v>25.848409427630628</c:v>
                </c:pt>
                <c:pt idx="788">
                  <c:v>26.213384371775362</c:v>
                </c:pt>
                <c:pt idx="789">
                  <c:v>26.580202151619641</c:v>
                </c:pt>
                <c:pt idx="790">
                  <c:v>26.948830532064381</c:v>
                </c:pt>
                <c:pt idx="791">
                  <c:v>27.319237201070212</c:v>
                </c:pt>
                <c:pt idx="792">
                  <c:v>27.691389774286208</c:v>
                </c:pt>
                <c:pt idx="793">
                  <c:v>28.065255799688895</c:v>
                </c:pt>
                <c:pt idx="794">
                  <c:v>28.440802762230096</c:v>
                </c:pt>
                <c:pt idx="795">
                  <c:v>28.81799808849269</c:v>
                </c:pt>
                <c:pt idx="796">
                  <c:v>29.196809151352724</c:v>
                </c:pt>
                <c:pt idx="797">
                  <c:v>29.577203274646983</c:v>
                </c:pt>
                <c:pt idx="798">
                  <c:v>29.959147737844685</c:v>
                </c:pt>
                <c:pt idx="799">
                  <c:v>30.342609780722032</c:v>
                </c:pt>
                <c:pt idx="800">
                  <c:v>30.727556608038583</c:v>
                </c:pt>
                <c:pt idx="801">
                  <c:v>31.113955394213967</c:v>
                </c:pt>
                <c:pt idx="802">
                  <c:v>31.501773288004159</c:v>
                </c:pt>
                <c:pt idx="803">
                  <c:v>31.89097741717563</c:v>
                </c:pt>
                <c:pt idx="804">
                  <c:v>32.28153489317662</c:v>
                </c:pt>
                <c:pt idx="805">
                  <c:v>32.673412815804049</c:v>
                </c:pt>
                <c:pt idx="806">
                  <c:v>33.066578277864906</c:v>
                </c:pt>
                <c:pt idx="807">
                  <c:v>33.46099836983111</c:v>
                </c:pt>
                <c:pt idx="808">
                  <c:v>33.856640184486508</c:v>
                </c:pt>
                <c:pt idx="809">
                  <c:v>34.253470821564733</c:v>
                </c:pt>
                <c:pt idx="810">
                  <c:v>34.651457392377019</c:v>
                </c:pt>
                <c:pt idx="811">
                  <c:v>35.050567024428567</c:v>
                </c:pt>
                <c:pt idx="812">
                  <c:v>35.450766866022434</c:v>
                </c:pt>
                <c:pt idx="813">
                  <c:v>35.852024090849589</c:v>
                </c:pt>
                <c:pt idx="814">
                  <c:v>36.254305902564226</c:v>
                </c:pt>
                <c:pt idx="815">
                  <c:v>36.657579539342976</c:v>
                </c:pt>
                <c:pt idx="816">
                  <c:v>37.061812278427084</c:v>
                </c:pt>
                <c:pt idx="817">
                  <c:v>37.466971440646013</c:v>
                </c:pt>
                <c:pt idx="818">
                  <c:v>37.873024394921892</c:v>
                </c:pt>
                <c:pt idx="819">
                  <c:v>38.279938562753216</c:v>
                </c:pt>
                <c:pt idx="820">
                  <c:v>38.687681422676832</c:v>
                </c:pt>
                <c:pt idx="821">
                  <c:v>39.096220514707241</c:v>
                </c:pt>
                <c:pt idx="822">
                  <c:v>39.505523444751859</c:v>
                </c:pt>
                <c:pt idx="823">
                  <c:v>39.915557889001363</c:v>
                </c:pt>
                <c:pt idx="824">
                  <c:v>40.326291598293778</c:v>
                </c:pt>
                <c:pt idx="825">
                  <c:v>40.737692402451565</c:v>
                </c:pt>
                <c:pt idx="826">
                  <c:v>41.149728214590461</c:v>
                </c:pt>
                <c:pt idx="827">
                  <c:v>41.562367035398729</c:v>
                </c:pt>
                <c:pt idx="828">
                  <c:v>41.97557695738643</c:v>
                </c:pt>
                <c:pt idx="829">
                  <c:v>42.389326169103114</c:v>
                </c:pt>
                <c:pt idx="830">
                  <c:v>42.803582959323059</c:v>
                </c:pt>
                <c:pt idx="831">
                  <c:v>43.218315721197278</c:v>
                </c:pt>
                <c:pt idx="832">
                  <c:v>43.633492956370795</c:v>
                </c:pt>
                <c:pt idx="833">
                  <c:v>44.049083279064867</c:v>
                </c:pt>
                <c:pt idx="834">
                  <c:v>44.465055420122525</c:v>
                </c:pt>
                <c:pt idx="835">
                  <c:v>44.881378231017017</c:v>
                </c:pt>
                <c:pt idx="836">
                  <c:v>45.298020687821783</c:v>
                </c:pt>
                <c:pt idx="837">
                  <c:v>45.714951895141262</c:v>
                </c:pt>
                <c:pt idx="838">
                  <c:v>46.132141090001589</c:v>
                </c:pt>
                <c:pt idx="839">
                  <c:v>46.549557645700332</c:v>
                </c:pt>
                <c:pt idx="840">
                  <c:v>46.967171075614011</c:v>
                </c:pt>
                <c:pt idx="841">
                  <c:v>47.3849510369634</c:v>
                </c:pt>
                <c:pt idx="842">
                  <c:v>47.802867334534554</c:v>
                </c:pt>
                <c:pt idx="843">
                  <c:v>48.220889924355603</c:v>
                </c:pt>
                <c:pt idx="844">
                  <c:v>48.638988917328639</c:v>
                </c:pt>
                <c:pt idx="845">
                  <c:v>49.057134582814761</c:v>
                </c:pt>
                <c:pt idx="846">
                  <c:v>49.475297352172973</c:v>
                </c:pt>
                <c:pt idx="847">
                  <c:v>49.893447822250835</c:v>
                </c:pt>
                <c:pt idx="848">
                  <c:v>50.311556758827223</c:v>
                </c:pt>
                <c:pt idx="849">
                  <c:v>50.729595100005596</c:v>
                </c:pt>
                <c:pt idx="850">
                  <c:v>51.147533959557705</c:v>
                </c:pt>
                <c:pt idx="851">
                  <c:v>51.565344630216529</c:v>
                </c:pt>
                <c:pt idx="852">
                  <c:v>51.982998586918285</c:v>
                </c:pt>
                <c:pt idx="853">
                  <c:v>52.40046748999243</c:v>
                </c:pt>
                <c:pt idx="854">
                  <c:v>52.81772318829919</c:v>
                </c:pt>
                <c:pt idx="855">
                  <c:v>53.234737722314136</c:v>
                </c:pt>
                <c:pt idx="856">
                  <c:v>53.651483327158957</c:v>
                </c:pt>
                <c:pt idx="857">
                  <c:v>54.067932435578101</c:v>
                </c:pt>
                <c:pt idx="858">
                  <c:v>54.484057680860438</c:v>
                </c:pt>
                <c:pt idx="859">
                  <c:v>54.899831899705994</c:v>
                </c:pt>
                <c:pt idx="860">
                  <c:v>55.315228135036314</c:v>
                </c:pt>
                <c:pt idx="861">
                  <c:v>55.730219638749077</c:v>
                </c:pt>
                <c:pt idx="862">
                  <c:v>56.144779874415484</c:v>
                </c:pt>
                <c:pt idx="863">
                  <c:v>56.5588825199208</c:v>
                </c:pt>
                <c:pt idx="864">
                  <c:v>56.972501470047092</c:v>
                </c:pt>
                <c:pt idx="865">
                  <c:v>57.385610838997678</c:v>
                </c:pt>
                <c:pt idx="866">
                  <c:v>57.7981849628639</c:v>
                </c:pt>
                <c:pt idx="867">
                  <c:v>58.210198402032127</c:v>
                </c:pt>
                <c:pt idx="868">
                  <c:v>58.621625943532777</c:v>
                </c:pt>
                <c:pt idx="869">
                  <c:v>59.03244260332896</c:v>
                </c:pt>
                <c:pt idx="870">
                  <c:v>59.442623628546059</c:v>
                </c:pt>
                <c:pt idx="871">
                  <c:v>59.852144499641128</c:v>
                </c:pt>
                <c:pt idx="872">
                  <c:v>60.260980932512012</c:v>
                </c:pt>
                <c:pt idx="873">
                  <c:v>60.669108880546318</c:v>
                </c:pt>
                <c:pt idx="874">
                  <c:v>61.076504536609519</c:v>
                </c:pt>
                <c:pt idx="875">
                  <c:v>61.483144334972408</c:v>
                </c:pt>
                <c:pt idx="876">
                  <c:v>61.889004953177434</c:v>
                </c:pt>
                <c:pt idx="877">
                  <c:v>62.294063313844347</c:v>
                </c:pt>
                <c:pt idx="878">
                  <c:v>62.698296586414166</c:v>
                </c:pt>
                <c:pt idx="879">
                  <c:v>63.101682188832186</c:v>
                </c:pt>
                <c:pt idx="880">
                  <c:v>63.504197789169652</c:v>
                </c:pt>
                <c:pt idx="881">
                  <c:v>63.905821307183984</c:v>
                </c:pt>
                <c:pt idx="882">
                  <c:v>64.306530915817333</c:v>
                </c:pt>
                <c:pt idx="883">
                  <c:v>64.70630504263444</c:v>
                </c:pt>
                <c:pt idx="884">
                  <c:v>65.105122371198192</c:v>
                </c:pt>
                <c:pt idx="885">
                  <c:v>65.502961842384735</c:v>
                </c:pt>
                <c:pt idx="886">
                  <c:v>65.899802655636634</c:v>
                </c:pt>
                <c:pt idx="887">
                  <c:v>66.295624270155287</c:v>
                </c:pt>
                <c:pt idx="888">
                  <c:v>66.690406406031869</c:v>
                </c:pt>
                <c:pt idx="889">
                  <c:v>67.084129045317653</c:v>
                </c:pt>
                <c:pt idx="890">
                  <c:v>67.476772433033489</c:v>
                </c:pt>
                <c:pt idx="891">
                  <c:v>67.868317078118437</c:v>
                </c:pt>
                <c:pt idx="892">
                  <c:v>68.258743754318033</c:v>
                </c:pt>
                <c:pt idx="893">
                  <c:v>68.648033501012449</c:v>
                </c:pt>
                <c:pt idx="894">
                  <c:v>69.036167623984525</c:v>
                </c:pt>
                <c:pt idx="895">
                  <c:v>69.423127696127779</c:v>
                </c:pt>
                <c:pt idx="896">
                  <c:v>69.808895558095628</c:v>
                </c:pt>
                <c:pt idx="897">
                  <c:v>70.19345331889042</c:v>
                </c:pt>
                <c:pt idx="898">
                  <c:v>70.576783356394472</c:v>
                </c:pt>
                <c:pt idx="899">
                  <c:v>70.958868317841805</c:v>
                </c:pt>
                <c:pt idx="900">
                  <c:v>71.33969112023199</c:v>
                </c:pt>
                <c:pt idx="901">
                  <c:v>71.719234950686044</c:v>
                </c:pt>
                <c:pt idx="902">
                  <c:v>72.097483266744717</c:v>
                </c:pt>
                <c:pt idx="903">
                  <c:v>72.474419796609581</c:v>
                </c:pt>
                <c:pt idx="904">
                  <c:v>72.850028539327752</c:v>
                </c:pt>
                <c:pt idx="905">
                  <c:v>73.224293764919835</c:v>
                </c:pt>
                <c:pt idx="906">
                  <c:v>73.597200014452227</c:v>
                </c:pt>
                <c:pt idx="907">
                  <c:v>73.968732100054098</c:v>
                </c:pt>
                <c:pt idx="908">
                  <c:v>74.338875104879293</c:v>
                </c:pt>
                <c:pt idx="909">
                  <c:v>74.707614383013834</c:v>
                </c:pt>
                <c:pt idx="910">
                  <c:v>75.074935559329532</c:v>
                </c:pt>
                <c:pt idx="911">
                  <c:v>75.440824529284058</c:v>
                </c:pt>
                <c:pt idx="912">
                  <c:v>75.805267458668098</c:v>
                </c:pt>
                <c:pt idx="913">
                  <c:v>76.168250783300493</c:v>
                </c:pt>
                <c:pt idx="914">
                  <c:v>76.529761208670919</c:v>
                </c:pt>
                <c:pt idx="915">
                  <c:v>76.889785709532092</c:v>
                </c:pt>
                <c:pt idx="916">
                  <c:v>77.24831152944067</c:v>
                </c:pt>
                <c:pt idx="917">
                  <c:v>77.605326180248639</c:v>
                </c:pt>
                <c:pt idx="918">
                  <c:v>77.960817441544719</c:v>
                </c:pt>
                <c:pt idx="919">
                  <c:v>78.314773360047468</c:v>
                </c:pt>
                <c:pt idx="920">
                  <c:v>78.667182248949743</c:v>
                </c:pt>
                <c:pt idx="921">
                  <c:v>79.018032687216007</c:v>
                </c:pt>
                <c:pt idx="922">
                  <c:v>79.367313518832219</c:v>
                </c:pt>
                <c:pt idx="923">
                  <c:v>79.715013852009903</c:v>
                </c:pt>
                <c:pt idx="924">
                  <c:v>80.061123058344464</c:v>
                </c:pt>
                <c:pt idx="925">
                  <c:v>80.061466830910305</c:v>
                </c:pt>
                <c:pt idx="926">
                  <c:v>80.061810601884659</c:v>
                </c:pt>
                <c:pt idx="927">
                  <c:v>80.06215437126761</c:v>
                </c:pt>
                <c:pt idx="928">
                  <c:v>80.062498139059144</c:v>
                </c:pt>
                <c:pt idx="929">
                  <c:v>80.062841905259248</c:v>
                </c:pt>
                <c:pt idx="930">
                  <c:v>80.063185669867863</c:v>
                </c:pt>
                <c:pt idx="931">
                  <c:v>80.063529432885076</c:v>
                </c:pt>
                <c:pt idx="932">
                  <c:v>80.063873194310773</c:v>
                </c:pt>
                <c:pt idx="933">
                  <c:v>80.064216954144968</c:v>
                </c:pt>
                <c:pt idx="934">
                  <c:v>80.064560712387717</c:v>
                </c:pt>
                <c:pt idx="935">
                  <c:v>80.06490446903895</c:v>
                </c:pt>
                <c:pt idx="936">
                  <c:v>80.065248224098653</c:v>
                </c:pt>
                <c:pt idx="937">
                  <c:v>80.065591977566882</c:v>
                </c:pt>
                <c:pt idx="938">
                  <c:v>80.065935729443538</c:v>
                </c:pt>
                <c:pt idx="939">
                  <c:v>80.066279479728678</c:v>
                </c:pt>
                <c:pt idx="940">
                  <c:v>80.066623228422216</c:v>
                </c:pt>
                <c:pt idx="941">
                  <c:v>80.066966975524267</c:v>
                </c:pt>
                <c:pt idx="942">
                  <c:v>80.06731072103473</c:v>
                </c:pt>
                <c:pt idx="943">
                  <c:v>80.067654464953549</c:v>
                </c:pt>
                <c:pt idx="944">
                  <c:v>80.067998207280809</c:v>
                </c:pt>
                <c:pt idx="945">
                  <c:v>80.06834194801651</c:v>
                </c:pt>
                <c:pt idx="946">
                  <c:v>80.068685687160539</c:v>
                </c:pt>
                <c:pt idx="947">
                  <c:v>80.06902942471298</c:v>
                </c:pt>
                <c:pt idx="948">
                  <c:v>80.069373160673777</c:v>
                </c:pt>
                <c:pt idx="949">
                  <c:v>80.069716895042902</c:v>
                </c:pt>
                <c:pt idx="950">
                  <c:v>80.070060627820453</c:v>
                </c:pt>
                <c:pt idx="951">
                  <c:v>80.070404359006289</c:v>
                </c:pt>
                <c:pt idx="952">
                  <c:v>80.070748088600453</c:v>
                </c:pt>
                <c:pt idx="953">
                  <c:v>80.071091816602959</c:v>
                </c:pt>
                <c:pt idx="954">
                  <c:v>80.07143554301372</c:v>
                </c:pt>
                <c:pt idx="955">
                  <c:v>80.07177926783281</c:v>
                </c:pt>
                <c:pt idx="956">
                  <c:v>80.072122991060169</c:v>
                </c:pt>
                <c:pt idx="957">
                  <c:v>80.072466712695871</c:v>
                </c:pt>
                <c:pt idx="958">
                  <c:v>80.072810432739757</c:v>
                </c:pt>
                <c:pt idx="959">
                  <c:v>80.073154151191943</c:v>
                </c:pt>
                <c:pt idx="960">
                  <c:v>80.073497868052385</c:v>
                </c:pt>
                <c:pt idx="961">
                  <c:v>80.073841583321055</c:v>
                </c:pt>
                <c:pt idx="962">
                  <c:v>80.074185296997911</c:v>
                </c:pt>
                <c:pt idx="963">
                  <c:v>80.074529009083079</c:v>
                </c:pt>
                <c:pt idx="964">
                  <c:v>80.074872719576376</c:v>
                </c:pt>
                <c:pt idx="965">
                  <c:v>80.075216428477901</c:v>
                </c:pt>
                <c:pt idx="966">
                  <c:v>80.075560135787583</c:v>
                </c:pt>
                <c:pt idx="967">
                  <c:v>80.075903841505479</c:v>
                </c:pt>
                <c:pt idx="968">
                  <c:v>80.076247545631546</c:v>
                </c:pt>
                <c:pt idx="969">
                  <c:v>80.076591248165712</c:v>
                </c:pt>
                <c:pt idx="970">
                  <c:v>80.076934949108079</c:v>
                </c:pt>
                <c:pt idx="971">
                  <c:v>80.077278648458588</c:v>
                </c:pt>
                <c:pt idx="972">
                  <c:v>80.077622346217197</c:v>
                </c:pt>
                <c:pt idx="973">
                  <c:v>80.077966042383949</c:v>
                </c:pt>
                <c:pt idx="974">
                  <c:v>80.078309736958758</c:v>
                </c:pt>
                <c:pt idx="975">
                  <c:v>80.07865342994171</c:v>
                </c:pt>
                <c:pt idx="976">
                  <c:v>80.078997121332748</c:v>
                </c:pt>
                <c:pt idx="977">
                  <c:v>80.079340811131829</c:v>
                </c:pt>
                <c:pt idx="978">
                  <c:v>80.079684499338995</c:v>
                </c:pt>
                <c:pt idx="979">
                  <c:v>80.080028185954234</c:v>
                </c:pt>
                <c:pt idx="980">
                  <c:v>80.080371870977501</c:v>
                </c:pt>
                <c:pt idx="981">
                  <c:v>80.080715554408783</c:v>
                </c:pt>
                <c:pt idx="982">
                  <c:v>80.081059236248137</c:v>
                </c:pt>
                <c:pt idx="983">
                  <c:v>80.081402916495449</c:v>
                </c:pt>
                <c:pt idx="984">
                  <c:v>80.081746595150804</c:v>
                </c:pt>
                <c:pt idx="985">
                  <c:v>80.082090272214174</c:v>
                </c:pt>
                <c:pt idx="986">
                  <c:v>80.082433947685516</c:v>
                </c:pt>
                <c:pt idx="987">
                  <c:v>80.08277762156483</c:v>
                </c:pt>
                <c:pt idx="988">
                  <c:v>80.083121293852116</c:v>
                </c:pt>
                <c:pt idx="989">
                  <c:v>80.083464964547389</c:v>
                </c:pt>
                <c:pt idx="990">
                  <c:v>80.083808633650548</c:v>
                </c:pt>
                <c:pt idx="991">
                  <c:v>80.084152301161637</c:v>
                </c:pt>
                <c:pt idx="992">
                  <c:v>80.084495967080713</c:v>
                </c:pt>
                <c:pt idx="993">
                  <c:v>80.084839631407647</c:v>
                </c:pt>
                <c:pt idx="994">
                  <c:v>80.085183294142539</c:v>
                </c:pt>
                <c:pt idx="995">
                  <c:v>80.085526955285303</c:v>
                </c:pt>
                <c:pt idx="996">
                  <c:v>80.085870614835969</c:v>
                </c:pt>
                <c:pt idx="997">
                  <c:v>80.086214272794464</c:v>
                </c:pt>
                <c:pt idx="998">
                  <c:v>80.086557929160904</c:v>
                </c:pt>
                <c:pt idx="999">
                  <c:v>80.086901583935116</c:v>
                </c:pt>
                <c:pt idx="1000">
                  <c:v>80.087245237117202</c:v>
                </c:pt>
              </c:numCache>
            </c:numRef>
          </c:yVal>
          <c:smooth val="0"/>
          <c:extLst>
            <c:ext xmlns:c16="http://schemas.microsoft.com/office/drawing/2014/chart" uri="{C3380CC4-5D6E-409C-BE32-E72D297353CC}">
              <c16:uniqueId val="{00000002-5334-48F2-9051-C40E5F5CB63F}"/>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47.400100000000343</c:v>
                </c:pt>
                <c:pt idx="926">
                  <c:v>47.400200000000346</c:v>
                </c:pt>
                <c:pt idx="927">
                  <c:v>47.40030000000035</c:v>
                </c:pt>
                <c:pt idx="928">
                  <c:v>47.400400000000353</c:v>
                </c:pt>
                <c:pt idx="929">
                  <c:v>47.400500000000356</c:v>
                </c:pt>
                <c:pt idx="930">
                  <c:v>47.40060000000036</c:v>
                </c:pt>
                <c:pt idx="931">
                  <c:v>47.400700000000363</c:v>
                </c:pt>
                <c:pt idx="932">
                  <c:v>47.400800000000366</c:v>
                </c:pt>
                <c:pt idx="933">
                  <c:v>47.40090000000037</c:v>
                </c:pt>
                <c:pt idx="934">
                  <c:v>47.401000000000373</c:v>
                </c:pt>
                <c:pt idx="935">
                  <c:v>47.401100000000376</c:v>
                </c:pt>
                <c:pt idx="936">
                  <c:v>47.401200000000379</c:v>
                </c:pt>
                <c:pt idx="937">
                  <c:v>47.401300000000383</c:v>
                </c:pt>
                <c:pt idx="938">
                  <c:v>47.401400000000386</c:v>
                </c:pt>
                <c:pt idx="939">
                  <c:v>47.401500000000389</c:v>
                </c:pt>
                <c:pt idx="940">
                  <c:v>47.401600000000393</c:v>
                </c:pt>
                <c:pt idx="941">
                  <c:v>47.401700000000396</c:v>
                </c:pt>
                <c:pt idx="942">
                  <c:v>47.401800000000399</c:v>
                </c:pt>
                <c:pt idx="943">
                  <c:v>47.401900000000403</c:v>
                </c:pt>
                <c:pt idx="944">
                  <c:v>47.402000000000406</c:v>
                </c:pt>
                <c:pt idx="945">
                  <c:v>47.402100000000409</c:v>
                </c:pt>
                <c:pt idx="946">
                  <c:v>47.402200000000413</c:v>
                </c:pt>
                <c:pt idx="947">
                  <c:v>47.402300000000416</c:v>
                </c:pt>
                <c:pt idx="948">
                  <c:v>47.402400000000419</c:v>
                </c:pt>
                <c:pt idx="949">
                  <c:v>47.402500000000423</c:v>
                </c:pt>
                <c:pt idx="950">
                  <c:v>47.402600000000426</c:v>
                </c:pt>
                <c:pt idx="951">
                  <c:v>47.402700000000429</c:v>
                </c:pt>
                <c:pt idx="952">
                  <c:v>47.402800000000433</c:v>
                </c:pt>
                <c:pt idx="953">
                  <c:v>47.402900000000436</c:v>
                </c:pt>
                <c:pt idx="954">
                  <c:v>47.403000000000439</c:v>
                </c:pt>
                <c:pt idx="955">
                  <c:v>47.403100000000443</c:v>
                </c:pt>
                <c:pt idx="956">
                  <c:v>47.403200000000446</c:v>
                </c:pt>
                <c:pt idx="957">
                  <c:v>47.403300000000449</c:v>
                </c:pt>
                <c:pt idx="958">
                  <c:v>47.403400000000453</c:v>
                </c:pt>
                <c:pt idx="959">
                  <c:v>47.403500000000456</c:v>
                </c:pt>
                <c:pt idx="960">
                  <c:v>47.403600000000459</c:v>
                </c:pt>
                <c:pt idx="961">
                  <c:v>47.403700000000462</c:v>
                </c:pt>
                <c:pt idx="962">
                  <c:v>47.403800000000466</c:v>
                </c:pt>
                <c:pt idx="963">
                  <c:v>47.403900000000469</c:v>
                </c:pt>
                <c:pt idx="964">
                  <c:v>47.404000000000472</c:v>
                </c:pt>
                <c:pt idx="965">
                  <c:v>47.404100000000476</c:v>
                </c:pt>
                <c:pt idx="966">
                  <c:v>47.404200000000479</c:v>
                </c:pt>
                <c:pt idx="967">
                  <c:v>47.404300000000482</c:v>
                </c:pt>
                <c:pt idx="968">
                  <c:v>47.404400000000486</c:v>
                </c:pt>
                <c:pt idx="969">
                  <c:v>47.404500000000489</c:v>
                </c:pt>
                <c:pt idx="970">
                  <c:v>47.404600000000492</c:v>
                </c:pt>
                <c:pt idx="971">
                  <c:v>47.404700000000496</c:v>
                </c:pt>
                <c:pt idx="972">
                  <c:v>47.404800000000499</c:v>
                </c:pt>
                <c:pt idx="973">
                  <c:v>47.404900000000502</c:v>
                </c:pt>
                <c:pt idx="974">
                  <c:v>47.405000000000506</c:v>
                </c:pt>
                <c:pt idx="975">
                  <c:v>47.405100000000509</c:v>
                </c:pt>
                <c:pt idx="976">
                  <c:v>47.405200000000512</c:v>
                </c:pt>
                <c:pt idx="977">
                  <c:v>47.405300000000516</c:v>
                </c:pt>
                <c:pt idx="978">
                  <c:v>47.405400000000519</c:v>
                </c:pt>
                <c:pt idx="979">
                  <c:v>47.405500000000522</c:v>
                </c:pt>
                <c:pt idx="980">
                  <c:v>47.405600000000526</c:v>
                </c:pt>
                <c:pt idx="981">
                  <c:v>47.405700000000529</c:v>
                </c:pt>
                <c:pt idx="982">
                  <c:v>47.405800000000532</c:v>
                </c:pt>
                <c:pt idx="983">
                  <c:v>47.405900000000535</c:v>
                </c:pt>
                <c:pt idx="984">
                  <c:v>47.406000000000539</c:v>
                </c:pt>
                <c:pt idx="985">
                  <c:v>47.406100000000542</c:v>
                </c:pt>
                <c:pt idx="986">
                  <c:v>47.406200000000545</c:v>
                </c:pt>
                <c:pt idx="987">
                  <c:v>47.406300000000549</c:v>
                </c:pt>
                <c:pt idx="988">
                  <c:v>47.406400000000552</c:v>
                </c:pt>
                <c:pt idx="989">
                  <c:v>47.406500000000555</c:v>
                </c:pt>
                <c:pt idx="990">
                  <c:v>47.406600000000559</c:v>
                </c:pt>
                <c:pt idx="991">
                  <c:v>47.406700000000562</c:v>
                </c:pt>
                <c:pt idx="992">
                  <c:v>47.406800000000565</c:v>
                </c:pt>
                <c:pt idx="993">
                  <c:v>47.406900000000569</c:v>
                </c:pt>
                <c:pt idx="994">
                  <c:v>47.407000000000572</c:v>
                </c:pt>
                <c:pt idx="995">
                  <c:v>47.407100000000575</c:v>
                </c:pt>
                <c:pt idx="996">
                  <c:v>47.407200000000579</c:v>
                </c:pt>
                <c:pt idx="997">
                  <c:v>47.407300000000582</c:v>
                </c:pt>
                <c:pt idx="998">
                  <c:v>47.407400000000585</c:v>
                </c:pt>
                <c:pt idx="999">
                  <c:v>47.407500000000589</c:v>
                </c:pt>
                <c:pt idx="1000">
                  <c:v>47.407600000000592</c:v>
                </c:pt>
              </c:numCache>
            </c:numRef>
          </c:xVal>
          <c:yVal>
            <c:numRef>
              <c:f>Calculs!$I$4:$I$1004</c:f>
              <c:numCache>
                <c:formatCode>0.00</c:formatCode>
                <c:ptCount val="1001"/>
                <c:pt idx="0">
                  <c:v>0</c:v>
                </c:pt>
                <c:pt idx="1">
                  <c:v>7.5014097082537923E-2</c:v>
                </c:pt>
                <c:pt idx="2">
                  <c:v>0.33937427058981412</c:v>
                </c:pt>
                <c:pt idx="3">
                  <c:v>0.68232506783774471</c:v>
                </c:pt>
                <c:pt idx="4">
                  <c:v>1.1039209522672255</c:v>
                </c:pt>
                <c:pt idx="5">
                  <c:v>1.6042253517821474</c:v>
                </c:pt>
                <c:pt idx="6">
                  <c:v>2.183310600227208</c:v>
                </c:pt>
                <c:pt idx="7">
                  <c:v>2.8412578819816359</c:v>
                </c:pt>
                <c:pt idx="8">
                  <c:v>3.5781571795958702</c:v>
                </c:pt>
                <c:pt idx="9">
                  <c:v>4.3941072244019193</c:v>
                </c:pt>
                <c:pt idx="10">
                  <c:v>5.2892154500308832</c:v>
                </c:pt>
                <c:pt idx="11">
                  <c:v>6.2183777010359815</c:v>
                </c:pt>
                <c:pt idx="12">
                  <c:v>7.1363992961614207</c:v>
                </c:pt>
                <c:pt idx="13">
                  <c:v>8.042915202336161</c:v>
                </c:pt>
                <c:pt idx="14">
                  <c:v>8.9375600235220354</c:v>
                </c:pt>
                <c:pt idx="15">
                  <c:v>9.8203126894694552</c:v>
                </c:pt>
                <c:pt idx="16">
                  <c:v>10.691152464059112</c:v>
                </c:pt>
                <c:pt idx="17">
                  <c:v>11.550058945145135</c:v>
                </c:pt>
                <c:pt idx="18">
                  <c:v>12.397012064357963</c:v>
                </c:pt>
                <c:pt idx="19">
                  <c:v>13.231992086867052</c:v>
                </c:pt>
                <c:pt idx="20">
                  <c:v>14.05497961110372</c:v>
                </c:pt>
                <c:pt idx="21">
                  <c:v>14.865955568444274</c:v>
                </c:pt>
                <c:pt idx="22">
                  <c:v>15.664901222853734</c:v>
                </c:pt>
                <c:pt idx="23">
                  <c:v>16.451798170490321</c:v>
                </c:pt>
                <c:pt idx="24">
                  <c:v>17.226628339271024</c:v>
                </c:pt>
                <c:pt idx="25">
                  <c:v>17.989373988398448</c:v>
                </c:pt>
                <c:pt idx="26">
                  <c:v>18.740017707849248</c:v>
                </c:pt>
                <c:pt idx="27">
                  <c:v>19.484616021602665</c:v>
                </c:pt>
                <c:pt idx="28">
                  <c:v>20.229235327424135</c:v>
                </c:pt>
                <c:pt idx="29">
                  <c:v>20.973873022270812</c:v>
                </c:pt>
                <c:pt idx="30">
                  <c:v>21.718526500125868</c:v>
                </c:pt>
                <c:pt idx="31">
                  <c:v>22.463193152042034</c:v>
                </c:pt>
                <c:pt idx="32">
                  <c:v>23.207870366185222</c:v>
                </c:pt>
                <c:pt idx="33">
                  <c:v>23.952555527878342</c:v>
                </c:pt>
                <c:pt idx="34">
                  <c:v>24.697246019645213</c:v>
                </c:pt>
                <c:pt idx="35">
                  <c:v>25.441939221254636</c:v>
                </c:pt>
                <c:pt idx="36">
                  <c:v>26.186637890362899</c:v>
                </c:pt>
                <c:pt idx="37">
                  <c:v>26.931345007548526</c:v>
                </c:pt>
                <c:pt idx="38">
                  <c:v>27.676057720728629</c:v>
                </c:pt>
                <c:pt idx="39">
                  <c:v>28.420773185488873</c:v>
                </c:pt>
                <c:pt idx="40">
                  <c:v>29.165488564361631</c:v>
                </c:pt>
                <c:pt idx="41">
                  <c:v>29.910201026211244</c:v>
                </c:pt>
                <c:pt idx="42">
                  <c:v>30.654907745680124</c:v>
                </c:pt>
                <c:pt idx="43">
                  <c:v>31.399605902688887</c:v>
                </c:pt>
                <c:pt idx="44">
                  <c:v>32.144292681984481</c:v>
                </c:pt>
                <c:pt idx="45">
                  <c:v>32.888965272731049</c:v>
                </c:pt>
                <c:pt idx="46">
                  <c:v>33.633620868139097</c:v>
                </c:pt>
                <c:pt idx="47">
                  <c:v>34.378256665128895</c:v>
                </c:pt>
                <c:pt idx="48">
                  <c:v>35.122869864024693</c:v>
                </c:pt>
                <c:pt idx="49">
                  <c:v>35.867457668276721</c:v>
                </c:pt>
                <c:pt idx="50">
                  <c:v>36.612017284208129</c:v>
                </c:pt>
                <c:pt idx="51">
                  <c:v>37.356545920784725</c:v>
                </c:pt>
                <c:pt idx="52">
                  <c:v>38.101040789405168</c:v>
                </c:pt>
                <c:pt idx="53">
                  <c:v>38.845499103709841</c:v>
                </c:pt>
                <c:pt idx="54">
                  <c:v>39.589918079406736</c:v>
                </c:pt>
                <c:pt idx="55">
                  <c:v>40.334294934112826</c:v>
                </c:pt>
                <c:pt idx="56">
                  <c:v>41.078626887209595</c:v>
                </c:pt>
                <c:pt idx="57">
                  <c:v>41.822911159711524</c:v>
                </c:pt>
                <c:pt idx="58">
                  <c:v>42.567144974146466</c:v>
                </c:pt>
                <c:pt idx="59">
                  <c:v>43.311325554446888</c:v>
                </c:pt>
                <c:pt idx="60">
                  <c:v>44.055450125851216</c:v>
                </c:pt>
                <c:pt idx="61">
                  <c:v>44.799515914814336</c:v>
                </c:pt>
                <c:pt idx="62">
                  <c:v>45.543520148926667</c:v>
                </c:pt>
                <c:pt idx="63">
                  <c:v>46.287460056841105</c:v>
                </c:pt>
                <c:pt idx="64">
                  <c:v>47.031332868207215</c:v>
                </c:pt>
                <c:pt idx="65">
                  <c:v>47.775135813612174</c:v>
                </c:pt>
                <c:pt idx="66">
                  <c:v>48.518866124527968</c:v>
                </c:pt>
                <c:pt idx="67">
                  <c:v>49.262521033264434</c:v>
                </c:pt>
                <c:pt idx="68">
                  <c:v>50.006097772927568</c:v>
                </c:pt>
                <c:pt idx="69">
                  <c:v>50.749593577383024</c:v>
                </c:pt>
                <c:pt idx="70">
                  <c:v>51.493005681224133</c:v>
                </c:pt>
                <c:pt idx="71">
                  <c:v>52.236331319744394</c:v>
                </c:pt>
                <c:pt idx="72">
                  <c:v>52.979498334557718</c:v>
                </c:pt>
                <c:pt idx="73">
                  <c:v>53.722434467502161</c:v>
                </c:pt>
                <c:pt idx="74">
                  <c:v>54.465136814687916</c:v>
                </c:pt>
                <c:pt idx="75">
                  <c:v>55.20760247425175</c:v>
                </c:pt>
                <c:pt idx="76">
                  <c:v>55.949828546350346</c:v>
                </c:pt>
                <c:pt idx="77">
                  <c:v>56.691812133156596</c:v>
                </c:pt>
                <c:pt idx="78">
                  <c:v>57.433550338858673</c:v>
                </c:pt>
                <c:pt idx="79">
                  <c:v>58.17504026966165</c:v>
                </c:pt>
                <c:pt idx="80">
                  <c:v>58.916279033791596</c:v>
                </c:pt>
                <c:pt idx="81">
                  <c:v>59.657263741501893</c:v>
                </c:pt>
                <c:pt idx="82">
                  <c:v>60.39799150508177</c:v>
                </c:pt>
                <c:pt idx="83">
                  <c:v>61.138459438866796</c:v>
                </c:pt>
                <c:pt idx="84">
                  <c:v>61.878664659251299</c:v>
                </c:pt>
                <c:pt idx="85">
                  <c:v>62.618604284702563</c:v>
                </c:pt>
                <c:pt idx="86">
                  <c:v>63.358275435776726</c:v>
                </c:pt>
                <c:pt idx="87">
                  <c:v>64.097675235136208</c:v>
                </c:pt>
                <c:pt idx="88">
                  <c:v>64.836800807568778</c:v>
                </c:pt>
                <c:pt idx="89">
                  <c:v>65.575649280007781</c:v>
                </c:pt>
                <c:pt idx="90">
                  <c:v>66.314217781554035</c:v>
                </c:pt>
                <c:pt idx="91">
                  <c:v>67.052503443498637</c:v>
                </c:pt>
                <c:pt idx="92">
                  <c:v>67.790503399347273</c:v>
                </c:pt>
                <c:pt idx="93">
                  <c:v>68.528214784845446</c:v>
                </c:pt>
                <c:pt idx="94">
                  <c:v>69.265634738004778</c:v>
                </c:pt>
                <c:pt idx="95">
                  <c:v>70.002760399130466</c:v>
                </c:pt>
                <c:pt idx="96">
                  <c:v>70.739588910849591</c:v>
                </c:pt>
                <c:pt idx="97">
                  <c:v>71.476117418140234</c:v>
                </c:pt>
                <c:pt idx="98">
                  <c:v>72.212343068361662</c:v>
                </c:pt>
                <c:pt idx="99">
                  <c:v>72.94826301128515</c:v>
                </c:pt>
                <c:pt idx="100">
                  <c:v>73.6838743991256</c:v>
                </c:pt>
                <c:pt idx="101">
                  <c:v>74.419174386573957</c:v>
                </c:pt>
                <c:pt idx="102">
                  <c:v>75.154160130830206</c:v>
                </c:pt>
                <c:pt idx="103">
                  <c:v>75.888828791637138</c:v>
                </c:pt>
                <c:pt idx="104">
                  <c:v>76.623177531314582</c:v>
                </c:pt>
                <c:pt idx="105">
                  <c:v>77.357203514794364</c:v>
                </c:pt>
                <c:pt idx="106">
                  <c:v>78.090903909655722</c:v>
                </c:pt>
                <c:pt idx="107">
                  <c:v>78.824275886161274</c:v>
                </c:pt>
                <c:pt idx="108">
                  <c:v>79.557316617293552</c:v>
                </c:pt>
                <c:pt idx="109">
                  <c:v>80.290023278791807</c:v>
                </c:pt>
                <c:pt idx="110">
                  <c:v>81.022393049189489</c:v>
                </c:pt>
                <c:pt idx="111">
                  <c:v>81.754423109851999</c:v>
                </c:pt>
                <c:pt idx="112">
                  <c:v>82.486110645014918</c:v>
                </c:pt>
                <c:pt idx="113">
                  <c:v>83.217452841822478</c:v>
                </c:pt>
                <c:pt idx="114">
                  <c:v>83.948446890366583</c:v>
                </c:pt>
                <c:pt idx="115">
                  <c:v>84.679089983726001</c:v>
                </c:pt>
                <c:pt idx="116">
                  <c:v>85.409379318006003</c:v>
                </c:pt>
                <c:pt idx="117">
                  <c:v>86.139312092378091</c:v>
                </c:pt>
                <c:pt idx="118">
                  <c:v>86.868885509120304</c:v>
                </c:pt>
                <c:pt idx="119">
                  <c:v>87.598096773657488</c:v>
                </c:pt>
                <c:pt idx="120">
                  <c:v>88.326943094602044</c:v>
                </c:pt>
                <c:pt idx="121">
                  <c:v>89.055421683794805</c:v>
                </c:pt>
                <c:pt idx="122">
                  <c:v>89.783529756346098</c:v>
                </c:pt>
                <c:pt idx="123">
                  <c:v>90.511264530677053</c:v>
                </c:pt>
                <c:pt idx="124">
                  <c:v>91.238623228561195</c:v>
                </c:pt>
                <c:pt idx="125">
                  <c:v>91.965603075166015</c:v>
                </c:pt>
                <c:pt idx="126">
                  <c:v>92.69220129909489</c:v>
                </c:pt>
                <c:pt idx="127">
                  <c:v>93.418415132429004</c:v>
                </c:pt>
                <c:pt idx="128">
                  <c:v>94.144241810769614</c:v>
                </c:pt>
                <c:pt idx="129">
                  <c:v>94.869358647701802</c:v>
                </c:pt>
                <c:pt idx="130">
                  <c:v>95.593442567088516</c:v>
                </c:pt>
                <c:pt idx="131">
                  <c:v>96.316490303236719</c:v>
                </c:pt>
                <c:pt idx="132">
                  <c:v>97.038498601602285</c:v>
                </c:pt>
                <c:pt idx="133">
                  <c:v>97.759464218837095</c:v>
                </c:pt>
                <c:pt idx="134">
                  <c:v>98.479383922835865</c:v>
                </c:pt>
                <c:pt idx="135">
                  <c:v>99.198254492782837</c:v>
                </c:pt>
                <c:pt idx="136">
                  <c:v>99.916072719198155</c:v>
                </c:pt>
                <c:pt idx="137">
                  <c:v>100.63283540398407</c:v>
                </c:pt>
                <c:pt idx="138">
                  <c:v>101.34853936047094</c:v>
                </c:pt>
                <c:pt idx="139">
                  <c:v>102.06318141346279</c:v>
                </c:pt>
                <c:pt idx="140">
                  <c:v>102.77675839928281</c:v>
                </c:pt>
                <c:pt idx="141">
                  <c:v>103.48926716581856</c:v>
                </c:pt>
                <c:pt idx="142">
                  <c:v>104.20070457256666</c:v>
                </c:pt>
                <c:pt idx="143">
                  <c:v>104.91106749067757</c:v>
                </c:pt>
                <c:pt idx="144">
                  <c:v>105.62035280299973</c:v>
                </c:pt>
                <c:pt idx="145">
                  <c:v>106.32855740412361</c:v>
                </c:pt>
                <c:pt idx="146">
                  <c:v>107.03567820042535</c:v>
                </c:pt>
                <c:pt idx="147">
                  <c:v>107.7417121101101</c:v>
                </c:pt>
                <c:pt idx="148">
                  <c:v>108.44665606325509</c:v>
                </c:pt>
                <c:pt idx="149">
                  <c:v>109.15050700185233</c:v>
                </c:pt>
                <c:pt idx="150">
                  <c:v>109.85326187985095</c:v>
                </c:pt>
                <c:pt idx="151">
                  <c:v>110.55491766319922</c:v>
                </c:pt>
                <c:pt idx="152">
                  <c:v>111.25547132988626</c:v>
                </c:pt>
                <c:pt idx="153">
                  <c:v>111.95491986998337</c:v>
                </c:pt>
                <c:pt idx="154">
                  <c:v>112.65326028568494</c:v>
                </c:pt>
                <c:pt idx="155">
                  <c:v>113.35048959134913</c:v>
                </c:pt>
                <c:pt idx="156">
                  <c:v>114.04660481353812</c:v>
                </c:pt>
                <c:pt idx="157">
                  <c:v>114.7416029910579</c:v>
                </c:pt>
                <c:pt idx="158">
                  <c:v>115.43548117499785</c:v>
                </c:pt>
                <c:pt idx="159">
                  <c:v>116.1282364287698</c:v>
                </c:pt>
                <c:pt idx="160">
                  <c:v>116.81986582814677</c:v>
                </c:pt>
                <c:pt idx="161">
                  <c:v>117.51036646130142</c:v>
                </c:pt>
                <c:pt idx="162">
                  <c:v>118.19973542884379</c:v>
                </c:pt>
                <c:pt idx="163">
                  <c:v>118.8879698438591</c:v>
                </c:pt>
                <c:pt idx="164">
                  <c:v>119.57506683194467</c:v>
                </c:pt>
                <c:pt idx="165">
                  <c:v>120.26102353124691</c:v>
                </c:pt>
                <c:pt idx="166">
                  <c:v>120.94583709249744</c:v>
                </c:pt>
                <c:pt idx="167">
                  <c:v>121.62950467904926</c:v>
                </c:pt>
                <c:pt idx="168">
                  <c:v>122.31202346691207</c:v>
                </c:pt>
                <c:pt idx="169">
                  <c:v>122.99339064478748</c:v>
                </c:pt>
                <c:pt idx="170">
                  <c:v>123.67360341410377</c:v>
                </c:pt>
                <c:pt idx="171">
                  <c:v>124.35265898904998</c:v>
                </c:pt>
                <c:pt idx="172">
                  <c:v>125.03055459660996</c:v>
                </c:pt>
                <c:pt idx="173">
                  <c:v>125.70728747659565</c:v>
                </c:pt>
                <c:pt idx="174">
                  <c:v>126.38285488168012</c:v>
                </c:pt>
                <c:pt idx="175">
                  <c:v>127.05725407743019</c:v>
                </c:pt>
                <c:pt idx="176">
                  <c:v>127.73048234233845</c:v>
                </c:pt>
                <c:pt idx="177">
                  <c:v>128.40253696785499</c:v>
                </c:pt>
                <c:pt idx="178">
                  <c:v>129.07341525841878</c:v>
                </c:pt>
                <c:pt idx="179">
                  <c:v>129.74311453148829</c:v>
                </c:pt>
                <c:pt idx="180">
                  <c:v>130.41163211757191</c:v>
                </c:pt>
                <c:pt idx="181">
                  <c:v>131.07896536025808</c:v>
                </c:pt>
                <c:pt idx="182">
                  <c:v>131.74511161624446</c:v>
                </c:pt>
                <c:pt idx="183">
                  <c:v>132.41006825536721</c:v>
                </c:pt>
                <c:pt idx="184">
                  <c:v>133.07383266062951</c:v>
                </c:pt>
                <c:pt idx="185">
                  <c:v>133.73640222822957</c:v>
                </c:pt>
                <c:pt idx="186">
                  <c:v>134.39777436758857</c:v>
                </c:pt>
                <c:pt idx="187">
                  <c:v>135.05794650137767</c:v>
                </c:pt>
                <c:pt idx="188">
                  <c:v>135.71691606554489</c:v>
                </c:pt>
                <c:pt idx="189">
                  <c:v>136.3746805093414</c:v>
                </c:pt>
                <c:pt idx="190">
                  <c:v>137.03123729534741</c:v>
                </c:pt>
                <c:pt idx="191">
                  <c:v>137.68658389949755</c:v>
                </c:pt>
                <c:pt idx="192">
                  <c:v>138.34071781110583</c:v>
                </c:pt>
                <c:pt idx="193">
                  <c:v>138.99363653289018</c:v>
                </c:pt>
                <c:pt idx="194">
                  <c:v>139.64533758099628</c:v>
                </c:pt>
                <c:pt idx="195">
                  <c:v>140.29581848502147</c:v>
                </c:pt>
                <c:pt idx="196">
                  <c:v>140.94507678803748</c:v>
                </c:pt>
                <c:pt idx="197">
                  <c:v>141.5931100466133</c:v>
                </c:pt>
                <c:pt idx="198">
                  <c:v>142.23991583083728</c:v>
                </c:pt>
                <c:pt idx="199">
                  <c:v>142.88549172433875</c:v>
                </c:pt>
                <c:pt idx="200">
                  <c:v>143.52983532430949</c:v>
                </c:pt>
                <c:pt idx="201">
                  <c:v>144.17294424152422</c:v>
                </c:pt>
                <c:pt idx="202">
                  <c:v>144.81481610036116</c:v>
                </c:pt>
                <c:pt idx="203">
                  <c:v>145.45544853882166</c:v>
                </c:pt>
                <c:pt idx="204">
                  <c:v>146.09483920854973</c:v>
                </c:pt>
                <c:pt idx="205">
                  <c:v>146.73298577485079</c:v>
                </c:pt>
                <c:pt idx="206">
                  <c:v>147.36980789735995</c:v>
                </c:pt>
                <c:pt idx="207">
                  <c:v>148.00522518432504</c:v>
                </c:pt>
                <c:pt idx="208">
                  <c:v>148.6392352744277</c:v>
                </c:pt>
                <c:pt idx="209">
                  <c:v>149.27183582201195</c:v>
                </c:pt>
                <c:pt idx="210">
                  <c:v>149.90302449709679</c:v>
                </c:pt>
                <c:pt idx="211">
                  <c:v>150.53279898538847</c:v>
                </c:pt>
                <c:pt idx="212">
                  <c:v>151.16115698829213</c:v>
                </c:pt>
                <c:pt idx="213">
                  <c:v>151.78809622292283</c:v>
                </c:pt>
                <c:pt idx="214">
                  <c:v>152.41361442211613</c:v>
                </c:pt>
                <c:pt idx="215">
                  <c:v>153.03770933443803</c:v>
                </c:pt>
                <c:pt idx="216">
                  <c:v>153.66037872419452</c:v>
                </c:pt>
                <c:pt idx="217">
                  <c:v>154.28162037144031</c:v>
                </c:pt>
                <c:pt idx="218">
                  <c:v>154.90143207198733</c:v>
                </c:pt>
                <c:pt idx="219">
                  <c:v>155.51981163741246</c:v>
                </c:pt>
                <c:pt idx="220">
                  <c:v>156.13675689506479</c:v>
                </c:pt>
                <c:pt idx="221">
                  <c:v>156.75226568807238</c:v>
                </c:pt>
                <c:pt idx="222">
                  <c:v>157.36633587534837</c:v>
                </c:pt>
                <c:pt idx="223">
                  <c:v>157.9789653315967</c:v>
                </c:pt>
                <c:pt idx="224">
                  <c:v>158.59015194731705</c:v>
                </c:pt>
                <c:pt idx="225">
                  <c:v>159.19989362880969</c:v>
                </c:pt>
                <c:pt idx="226">
                  <c:v>159.80818829817909</c:v>
                </c:pt>
                <c:pt idx="227">
                  <c:v>160.41503389333769</c:v>
                </c:pt>
                <c:pt idx="228">
                  <c:v>161.02042836800879</c:v>
                </c:pt>
                <c:pt idx="229">
                  <c:v>161.62436969172882</c:v>
                </c:pt>
                <c:pt idx="230">
                  <c:v>162.22685584984941</c:v>
                </c:pt>
                <c:pt idx="231">
                  <c:v>162.82788484353858</c:v>
                </c:pt>
                <c:pt idx="232">
                  <c:v>163.42745468978157</c:v>
                </c:pt>
                <c:pt idx="233">
                  <c:v>164.02556342138124</c:v>
                </c:pt>
                <c:pt idx="234">
                  <c:v>164.62220908695755</c:v>
                </c:pt>
                <c:pt idx="235">
                  <c:v>165.21738975094709</c:v>
                </c:pt>
                <c:pt idx="236">
                  <c:v>165.81110349360156</c:v>
                </c:pt>
                <c:pt idx="237">
                  <c:v>166.40334841098613</c:v>
                </c:pt>
                <c:pt idx="238">
                  <c:v>166.99412261497679</c:v>
                </c:pt>
                <c:pt idx="239">
                  <c:v>167.58342423325777</c:v>
                </c:pt>
                <c:pt idx="240">
                  <c:v>168.17125140931802</c:v>
                </c:pt>
                <c:pt idx="241">
                  <c:v>168.75760230244725</c:v>
                </c:pt>
                <c:pt idx="242">
                  <c:v>169.34220525216782</c:v>
                </c:pt>
                <c:pt idx="243">
                  <c:v>169.92478844059568</c:v>
                </c:pt>
                <c:pt idx="244">
                  <c:v>170.50534993457316</c:v>
                </c:pt>
                <c:pt idx="245">
                  <c:v>171.0838878236593</c:v>
                </c:pt>
                <c:pt idx="246">
                  <c:v>171.66040022009989</c:v>
                </c:pt>
                <c:pt idx="247">
                  <c:v>172.23488525879702</c:v>
                </c:pt>
                <c:pt idx="248">
                  <c:v>172.80734109727726</c:v>
                </c:pt>
                <c:pt idx="249">
                  <c:v>173.37776591565961</c:v>
                </c:pt>
                <c:pt idx="250">
                  <c:v>173.9461579166225</c:v>
                </c:pt>
                <c:pt idx="251">
                  <c:v>174.51251532536983</c:v>
                </c:pt>
                <c:pt idx="252">
                  <c:v>175.07683638959659</c:v>
                </c:pt>
                <c:pt idx="253">
                  <c:v>175.63911937945358</c:v>
                </c:pt>
                <c:pt idx="254">
                  <c:v>176.19936258751127</c:v>
                </c:pt>
                <c:pt idx="255">
                  <c:v>176.75756432872313</c:v>
                </c:pt>
                <c:pt idx="256">
                  <c:v>177.313722940388</c:v>
                </c:pt>
                <c:pt idx="257">
                  <c:v>177.86783678211199</c:v>
                </c:pt>
                <c:pt idx="258">
                  <c:v>178.41990423576937</c:v>
                </c:pt>
                <c:pt idx="259">
                  <c:v>178.96992370546295</c:v>
                </c:pt>
                <c:pt idx="260">
                  <c:v>179.51789361748359</c:v>
                </c:pt>
                <c:pt idx="261">
                  <c:v>180.06381242026927</c:v>
                </c:pt>
                <c:pt idx="262">
                  <c:v>180.60767858436301</c:v>
                </c:pt>
                <c:pt idx="263">
                  <c:v>181.14949060237049</c:v>
                </c:pt>
                <c:pt idx="264">
                  <c:v>181.68924698891678</c:v>
                </c:pt>
                <c:pt idx="265">
                  <c:v>182.22694628060236</c:v>
                </c:pt>
                <c:pt idx="266">
                  <c:v>182.76258703595863</c:v>
                </c:pt>
                <c:pt idx="267">
                  <c:v>183.29616783540254</c:v>
                </c:pt>
                <c:pt idx="268">
                  <c:v>183.82768728119058</c:v>
                </c:pt>
                <c:pt idx="269">
                  <c:v>184.35714399737219</c:v>
                </c:pt>
                <c:pt idx="270">
                  <c:v>184.88453662974251</c:v>
                </c:pt>
                <c:pt idx="271">
                  <c:v>185.40986384579435</c:v>
                </c:pt>
                <c:pt idx="272">
                  <c:v>185.93312433466949</c:v>
                </c:pt>
                <c:pt idx="273">
                  <c:v>186.45431680710956</c:v>
                </c:pt>
                <c:pt idx="274">
                  <c:v>186.9734399954061</c:v>
                </c:pt>
                <c:pt idx="275">
                  <c:v>187.49049265334992</c:v>
                </c:pt>
                <c:pt idx="276">
                  <c:v>188.00547355617991</c:v>
                </c:pt>
                <c:pt idx="277">
                  <c:v>188.51838150053129</c:v>
                </c:pt>
                <c:pt idx="278">
                  <c:v>189.02921530438326</c:v>
                </c:pt>
                <c:pt idx="279">
                  <c:v>189.53797380700567</c:v>
                </c:pt>
                <c:pt idx="280">
                  <c:v>190.04465586890558</c:v>
                </c:pt>
                <c:pt idx="281">
                  <c:v>190.5492603717729</c:v>
                </c:pt>
                <c:pt idx="282">
                  <c:v>191.05178621842563</c:v>
                </c:pt>
                <c:pt idx="283">
                  <c:v>191.55223233275419</c:v>
                </c:pt>
                <c:pt idx="284">
                  <c:v>192.0509146205687</c:v>
                </c:pt>
                <c:pt idx="285">
                  <c:v>192.54814912994462</c:v>
                </c:pt>
                <c:pt idx="286">
                  <c:v>193.04393486901211</c:v>
                </c:pt>
                <c:pt idx="287">
                  <c:v>193.53827085941001</c:v>
                </c:pt>
                <c:pt idx="288">
                  <c:v>194.03115613626136</c:v>
                </c:pt>
                <c:pt idx="289">
                  <c:v>194.52258974814868</c:v>
                </c:pt>
                <c:pt idx="290">
                  <c:v>195.01257075708864</c:v>
                </c:pt>
                <c:pt idx="291">
                  <c:v>195.50109823850678</c:v>
                </c:pt>
                <c:pt idx="292">
                  <c:v>195.98817128121155</c:v>
                </c:pt>
                <c:pt idx="293">
                  <c:v>196.47378898736821</c:v>
                </c:pt>
                <c:pt idx="294">
                  <c:v>196.95795047247228</c:v>
                </c:pt>
                <c:pt idx="295">
                  <c:v>197.4406548653229</c:v>
                </c:pt>
                <c:pt idx="296">
                  <c:v>197.92190130799554</c:v>
                </c:pt>
                <c:pt idx="297">
                  <c:v>198.40168895581462</c:v>
                </c:pt>
                <c:pt idx="298">
                  <c:v>198.88001697732562</c:v>
                </c:pt>
                <c:pt idx="299">
                  <c:v>199.35688455426711</c:v>
                </c:pt>
                <c:pt idx="300">
                  <c:v>199.83229088154238</c:v>
                </c:pt>
                <c:pt idx="301">
                  <c:v>200.30623516719047</c:v>
                </c:pt>
                <c:pt idx="302">
                  <c:v>200.77871663235746</c:v>
                </c:pt>
                <c:pt idx="303">
                  <c:v>201.24973451126678</c:v>
                </c:pt>
                <c:pt idx="304">
                  <c:v>201.71928805118992</c:v>
                </c:pt>
                <c:pt idx="305">
                  <c:v>202.18737651241617</c:v>
                </c:pt>
                <c:pt idx="306">
                  <c:v>202.65399916822258</c:v>
                </c:pt>
                <c:pt idx="307">
                  <c:v>203.1191553048433</c:v>
                </c:pt>
                <c:pt idx="308">
                  <c:v>203.58284422143876</c:v>
                </c:pt>
                <c:pt idx="309">
                  <c:v>204.04506523006452</c:v>
                </c:pt>
                <c:pt idx="310">
                  <c:v>204.50581765563993</c:v>
                </c:pt>
                <c:pt idx="311">
                  <c:v>204.96510083591622</c:v>
                </c:pt>
                <c:pt idx="312">
                  <c:v>205.42291412144479</c:v>
                </c:pt>
                <c:pt idx="313">
                  <c:v>205.87925687554463</c:v>
                </c:pt>
                <c:pt idx="314">
                  <c:v>206.33412847426996</c:v>
                </c:pt>
                <c:pt idx="315">
                  <c:v>206.78752830637725</c:v>
                </c:pt>
                <c:pt idx="316">
                  <c:v>207.23945577329229</c:v>
                </c:pt>
                <c:pt idx="317">
                  <c:v>207.68991028907664</c:v>
                </c:pt>
                <c:pt idx="318">
                  <c:v>208.13889128039395</c:v>
                </c:pt>
                <c:pt idx="319">
                  <c:v>208.58639818647632</c:v>
                </c:pt>
                <c:pt idx="320">
                  <c:v>209.03243045908965</c:v>
                </c:pt>
                <c:pt idx="321">
                  <c:v>209.47698756249969</c:v>
                </c:pt>
                <c:pt idx="322">
                  <c:v>209.92006897343691</c:v>
                </c:pt>
                <c:pt idx="323">
                  <c:v>210.36167418106189</c:v>
                </c:pt>
                <c:pt idx="324">
                  <c:v>210.80180268692988</c:v>
                </c:pt>
                <c:pt idx="325">
                  <c:v>211.2404540049553</c:v>
                </c:pt>
                <c:pt idx="326">
                  <c:v>211.67764714010056</c:v>
                </c:pt>
                <c:pt idx="327">
                  <c:v>212.11340111329878</c:v>
                </c:pt>
                <c:pt idx="328">
                  <c:v>212.54771546994573</c:v>
                </c:pt>
                <c:pt idx="329">
                  <c:v>212.98058976727694</c:v>
                </c:pt>
                <c:pt idx="330">
                  <c:v>213.41202357433309</c:v>
                </c:pt>
                <c:pt idx="331">
                  <c:v>213.84201647192484</c:v>
                </c:pt>
                <c:pt idx="332">
                  <c:v>214.27056805259775</c:v>
                </c:pt>
                <c:pt idx="333">
                  <c:v>214.69767792059693</c:v>
                </c:pt>
                <c:pt idx="334">
                  <c:v>215.12334569183142</c:v>
                </c:pt>
                <c:pt idx="335">
                  <c:v>215.54757099383821</c:v>
                </c:pt>
                <c:pt idx="336">
                  <c:v>215.97035346574646</c:v>
                </c:pt>
                <c:pt idx="337">
                  <c:v>216.39169275824096</c:v>
                </c:pt>
                <c:pt idx="338">
                  <c:v>216.81158853352593</c:v>
                </c:pt>
                <c:pt idx="339">
                  <c:v>217.23004046528806</c:v>
                </c:pt>
                <c:pt idx="340">
                  <c:v>217.64704823865986</c:v>
                </c:pt>
                <c:pt idx="341">
                  <c:v>218.06261155018254</c:v>
                </c:pt>
                <c:pt idx="342">
                  <c:v>218.47673010776853</c:v>
                </c:pt>
                <c:pt idx="343">
                  <c:v>218.88940363066422</c:v>
                </c:pt>
                <c:pt idx="344">
                  <c:v>219.30063184941224</c:v>
                </c:pt>
                <c:pt idx="345">
                  <c:v>219.71041450581356</c:v>
                </c:pt>
                <c:pt idx="346">
                  <c:v>220.11875135288932</c:v>
                </c:pt>
                <c:pt idx="347">
                  <c:v>220.5256421548427</c:v>
                </c:pt>
                <c:pt idx="348">
                  <c:v>220.93108668702058</c:v>
                </c:pt>
                <c:pt idx="349">
                  <c:v>221.33508473587472</c:v>
                </c:pt>
                <c:pt idx="350">
                  <c:v>221.73763609892308</c:v>
                </c:pt>
                <c:pt idx="351">
                  <c:v>222.1387405847108</c:v>
                </c:pt>
                <c:pt idx="352">
                  <c:v>222.5383980127711</c:v>
                </c:pt>
                <c:pt idx="353">
                  <c:v>222.93660821358588</c:v>
                </c:pt>
                <c:pt idx="354">
                  <c:v>223.33337102854631</c:v>
                </c:pt>
                <c:pt idx="355">
                  <c:v>223.72868630991312</c:v>
                </c:pt>
                <c:pt idx="356">
                  <c:v>224.12255392077674</c:v>
                </c:pt>
                <c:pt idx="357">
                  <c:v>224.51497373501741</c:v>
                </c:pt>
                <c:pt idx="358">
                  <c:v>224.90594563726486</c:v>
                </c:pt>
                <c:pt idx="359">
                  <c:v>225.29546952285827</c:v>
                </c:pt>
                <c:pt idx="360">
                  <c:v>225.68354529780547</c:v>
                </c:pt>
                <c:pt idx="361">
                  <c:v>226.07017287874257</c:v>
                </c:pt>
                <c:pt idx="362">
                  <c:v>226.45535219289312</c:v>
                </c:pt>
                <c:pt idx="363">
                  <c:v>226.83908317802712</c:v>
                </c:pt>
                <c:pt idx="364">
                  <c:v>227.22136578242007</c:v>
                </c:pt>
                <c:pt idx="365">
                  <c:v>227.60219996481163</c:v>
                </c:pt>
                <c:pt idx="366">
                  <c:v>227.98207962838643</c:v>
                </c:pt>
                <c:pt idx="367">
                  <c:v>228.36149869570212</c:v>
                </c:pt>
                <c:pt idx="368">
                  <c:v>228.74045687219459</c:v>
                </c:pt>
                <c:pt idx="369">
                  <c:v>229.11895386654669</c:v>
                </c:pt>
                <c:pt idx="370">
                  <c:v>229.4969893906846</c:v>
                </c:pt>
                <c:pt idx="371">
                  <c:v>229.87456315977366</c:v>
                </c:pt>
                <c:pt idx="372">
                  <c:v>230.25167489221417</c:v>
                </c:pt>
                <c:pt idx="373">
                  <c:v>230.62832430963763</c:v>
                </c:pt>
                <c:pt idx="374">
                  <c:v>231.00451113690227</c:v>
                </c:pt>
                <c:pt idx="375">
                  <c:v>231.38023510208896</c:v>
                </c:pt>
                <c:pt idx="376">
                  <c:v>231.75549593649717</c:v>
                </c:pt>
                <c:pt idx="377">
                  <c:v>232.13029337464039</c:v>
                </c:pt>
                <c:pt idx="378">
                  <c:v>232.50462715424197</c:v>
                </c:pt>
                <c:pt idx="379">
                  <c:v>232.87849701623068</c:v>
                </c:pt>
                <c:pt idx="380">
                  <c:v>233.25190270473647</c:v>
                </c:pt>
                <c:pt idx="381">
                  <c:v>233.62431081220973</c:v>
                </c:pt>
                <c:pt idx="382">
                  <c:v>233.99518794239873</c:v>
                </c:pt>
                <c:pt idx="383">
                  <c:v>234.36453419139437</c:v>
                </c:pt>
                <c:pt idx="384">
                  <c:v>234.73234966604389</c:v>
                </c:pt>
                <c:pt idx="385">
                  <c:v>235.09863448390342</c:v>
                </c:pt>
                <c:pt idx="386">
                  <c:v>235.46338877318982</c:v>
                </c:pt>
                <c:pt idx="387">
                  <c:v>235.82661267273286</c:v>
                </c:pt>
                <c:pt idx="388">
                  <c:v>236.18830633192721</c:v>
                </c:pt>
                <c:pt idx="389">
                  <c:v>236.54846991068396</c:v>
                </c:pt>
                <c:pt idx="390">
                  <c:v>236.90710357938261</c:v>
                </c:pt>
                <c:pt idx="391">
                  <c:v>237.26420751882247</c:v>
                </c:pt>
                <c:pt idx="392">
                  <c:v>237.61978192017426</c:v>
                </c:pt>
                <c:pt idx="393">
                  <c:v>237.97382698493126</c:v>
                </c:pt>
                <c:pt idx="394">
                  <c:v>238.32634292486094</c:v>
                </c:pt>
                <c:pt idx="395">
                  <c:v>238.67732996195576</c:v>
                </c:pt>
                <c:pt idx="396">
                  <c:v>239.02678832838455</c:v>
                </c:pt>
                <c:pt idx="397">
                  <c:v>239.37471826644335</c:v>
                </c:pt>
                <c:pt idx="398">
                  <c:v>239.72112002850636</c:v>
                </c:pt>
                <c:pt idx="399">
                  <c:v>240.06599387697682</c:v>
                </c:pt>
                <c:pt idx="400">
                  <c:v>240.40934008423756</c:v>
                </c:pt>
                <c:pt idx="401">
                  <c:v>240.75074042658281</c:v>
                </c:pt>
                <c:pt idx="402">
                  <c:v>241.08977673401449</c:v>
                </c:pt>
                <c:pt idx="403">
                  <c:v>241.42644964347653</c:v>
                </c:pt>
                <c:pt idx="404">
                  <c:v>241.76075980953868</c:v>
                </c:pt>
                <c:pt idx="405">
                  <c:v>242.09270790428653</c:v>
                </c:pt>
                <c:pt idx="406">
                  <c:v>242.42229461721175</c:v>
                </c:pt>
                <c:pt idx="407">
                  <c:v>242.74952065510226</c:v>
                </c:pt>
                <c:pt idx="408">
                  <c:v>243.07438674193182</c:v>
                </c:pt>
                <c:pt idx="409">
                  <c:v>243.3968936187502</c:v>
                </c:pt>
                <c:pt idx="410">
                  <c:v>243.7170420435726</c:v>
                </c:pt>
                <c:pt idx="411">
                  <c:v>244.03252292121243</c:v>
                </c:pt>
                <c:pt idx="412">
                  <c:v>244.34102757773516</c:v>
                </c:pt>
                <c:pt idx="413">
                  <c:v>244.64255896095332</c:v>
                </c:pt>
                <c:pt idx="414">
                  <c:v>244.93712011384341</c:v>
                </c:pt>
                <c:pt idx="415">
                  <c:v>245.22471417368635</c:v>
                </c:pt>
                <c:pt idx="416">
                  <c:v>245.50534437120703</c:v>
                </c:pt>
                <c:pt idx="417">
                  <c:v>245.77901402971219</c:v>
                </c:pt>
                <c:pt idx="418">
                  <c:v>246.04572656422729</c:v>
                </c:pt>
                <c:pt idx="419">
                  <c:v>246.30548548063211</c:v>
                </c:pt>
                <c:pt idx="420">
                  <c:v>246.55698171974649</c:v>
                </c:pt>
                <c:pt idx="421">
                  <c:v>246.79890673815189</c:v>
                </c:pt>
                <c:pt idx="422">
                  <c:v>247.03126584774782</c:v>
                </c:pt>
                <c:pt idx="423">
                  <c:v>247.25406451779153</c:v>
                </c:pt>
                <c:pt idx="424">
                  <c:v>247.46730837327294</c:v>
                </c:pt>
                <c:pt idx="425">
                  <c:v>247.67100319328654</c:v>
                </c:pt>
                <c:pt idx="426">
                  <c:v>247.86515490940138</c:v>
                </c:pt>
                <c:pt idx="427">
                  <c:v>248.0497696040288</c:v>
                </c:pt>
                <c:pt idx="428">
                  <c:v>248.22485350878799</c:v>
                </c:pt>
                <c:pt idx="429">
                  <c:v>248.39041300287045</c:v>
                </c:pt>
                <c:pt idx="430">
                  <c:v>248.54645461140254</c:v>
                </c:pt>
                <c:pt idx="431">
                  <c:v>248.69298500380697</c:v>
                </c:pt>
                <c:pt idx="432">
                  <c:v>248.82789832704142</c:v>
                </c:pt>
                <c:pt idx="433">
                  <c:v>248.94909008670083</c:v>
                </c:pt>
                <c:pt idx="434">
                  <c:v>249.05657068601312</c:v>
                </c:pt>
                <c:pt idx="435">
                  <c:v>249.15035081269383</c:v>
                </c:pt>
                <c:pt idx="436">
                  <c:v>249.23044143552926</c:v>
                </c:pt>
                <c:pt idx="437">
                  <c:v>249.29685380095404</c:v>
                </c:pt>
                <c:pt idx="438">
                  <c:v>249.34959942962436</c:v>
                </c:pt>
                <c:pt idx="439">
                  <c:v>249.38869011298695</c:v>
                </c:pt>
                <c:pt idx="440">
                  <c:v>249.4141379098445</c:v>
                </c:pt>
                <c:pt idx="441">
                  <c:v>249.42595514291844</c:v>
                </c:pt>
                <c:pt idx="442">
                  <c:v>249.42543645006788</c:v>
                </c:pt>
                <c:pt idx="443">
                  <c:v>249.41387563059314</c:v>
                </c:pt>
                <c:pt idx="444">
                  <c:v>249.39128323256645</c:v>
                </c:pt>
                <c:pt idx="445">
                  <c:v>249.35766996537055</c:v>
                </c:pt>
                <c:pt idx="446">
                  <c:v>249.31304669744324</c:v>
                </c:pt>
                <c:pt idx="447">
                  <c:v>249.2574244540244</c:v>
                </c:pt>
                <c:pt idx="448">
                  <c:v>249.19081441490584</c:v>
                </c:pt>
                <c:pt idx="449">
                  <c:v>249.11322791218416</c:v>
                </c:pt>
                <c:pt idx="450">
                  <c:v>249.02467642801713</c:v>
                </c:pt>
                <c:pt idx="451">
                  <c:v>248.92517159238355</c:v>
                </c:pt>
                <c:pt idx="452">
                  <c:v>248.81472518084712</c:v>
                </c:pt>
                <c:pt idx="453">
                  <c:v>248.69518379328301</c:v>
                </c:pt>
                <c:pt idx="454">
                  <c:v>248.56839219228999</c:v>
                </c:pt>
                <c:pt idx="455">
                  <c:v>248.43435835330223</c:v>
                </c:pt>
                <c:pt idx="456">
                  <c:v>248.29309030346383</c:v>
                </c:pt>
                <c:pt idx="457">
                  <c:v>248.14459612068342</c:v>
                </c:pt>
                <c:pt idx="458">
                  <c:v>247.98888393269183</c:v>
                </c:pt>
                <c:pt idx="459">
                  <c:v>247.82596191610418</c:v>
                </c:pt>
                <c:pt idx="460">
                  <c:v>247.65583829548484</c:v>
                </c:pt>
                <c:pt idx="461">
                  <c:v>247.48017190804833</c:v>
                </c:pt>
                <c:pt idx="462">
                  <c:v>247.30061970115821</c:v>
                </c:pt>
                <c:pt idx="463">
                  <c:v>247.11718603775543</c:v>
                </c:pt>
                <c:pt idx="464">
                  <c:v>246.92987528610342</c:v>
                </c:pt>
                <c:pt idx="465">
                  <c:v>246.73869181954754</c:v>
                </c:pt>
                <c:pt idx="466">
                  <c:v>246.54225358867066</c:v>
                </c:pt>
                <c:pt idx="467">
                  <c:v>246.33918022145934</c:v>
                </c:pt>
                <c:pt idx="468">
                  <c:v>246.11404048252683</c:v>
                </c:pt>
                <c:pt idx="469">
                  <c:v>245.87031629425695</c:v>
                </c:pt>
                <c:pt idx="470">
                  <c:v>245.6269241931378</c:v>
                </c:pt>
                <c:pt idx="471">
                  <c:v>245.3838633072896</c:v>
                </c:pt>
                <c:pt idx="472">
                  <c:v>245.14113276791139</c:v>
                </c:pt>
                <c:pt idx="473">
                  <c:v>244.89873170926759</c:v>
                </c:pt>
                <c:pt idx="474">
                  <c:v>244.65665926867422</c:v>
                </c:pt>
                <c:pt idx="475">
                  <c:v>244.41491458648559</c:v>
                </c:pt>
                <c:pt idx="476">
                  <c:v>244.17349680608089</c:v>
                </c:pt>
                <c:pt idx="477">
                  <c:v>243.93240507385076</c:v>
                </c:pt>
                <c:pt idx="478">
                  <c:v>243.69163853918403</c:v>
                </c:pt>
                <c:pt idx="479">
                  <c:v>243.45119635445462</c:v>
                </c:pt>
                <c:pt idx="480">
                  <c:v>243.2110776750084</c:v>
                </c:pt>
                <c:pt idx="481">
                  <c:v>242.97128165914998</c:v>
                </c:pt>
                <c:pt idx="482">
                  <c:v>242.73180746813</c:v>
                </c:pt>
                <c:pt idx="483">
                  <c:v>242.49265426613195</c:v>
                </c:pt>
                <c:pt idx="484">
                  <c:v>242.25382122025948</c:v>
                </c:pt>
                <c:pt idx="485">
                  <c:v>242.01530750052362</c:v>
                </c:pt>
                <c:pt idx="486">
                  <c:v>241.77711227982999</c:v>
                </c:pt>
                <c:pt idx="487">
                  <c:v>241.5392347339662</c:v>
                </c:pt>
                <c:pt idx="488">
                  <c:v>241.30167404158931</c:v>
                </c:pt>
                <c:pt idx="489">
                  <c:v>241.06442938421327</c:v>
                </c:pt>
                <c:pt idx="490">
                  <c:v>240.82749994619653</c:v>
                </c:pt>
                <c:pt idx="491">
                  <c:v>240.59088491472951</c:v>
                </c:pt>
                <c:pt idx="492">
                  <c:v>240.35458347982262</c:v>
                </c:pt>
                <c:pt idx="493">
                  <c:v>240.1185948342937</c:v>
                </c:pt>
                <c:pt idx="494">
                  <c:v>239.88291817375588</c:v>
                </c:pt>
                <c:pt idx="495">
                  <c:v>239.64755269660566</c:v>
                </c:pt>
                <c:pt idx="496">
                  <c:v>239.41249760401061</c:v>
                </c:pt>
                <c:pt idx="497">
                  <c:v>239.17775209989756</c:v>
                </c:pt>
                <c:pt idx="498">
                  <c:v>238.9433153909406</c:v>
                </c:pt>
                <c:pt idx="499">
                  <c:v>238.70918668654929</c:v>
                </c:pt>
                <c:pt idx="500">
                  <c:v>238.47536519885668</c:v>
                </c:pt>
                <c:pt idx="501">
                  <c:v>236.14032940956193</c:v>
                </c:pt>
                <c:pt idx="502">
                  <c:v>233.83566899889618</c:v>
                </c:pt>
                <c:pt idx="503">
                  <c:v>231.56061828530829</c:v>
                </c:pt>
                <c:pt idx="504">
                  <c:v>229.31443741028409</c:v>
                </c:pt>
                <c:pt idx="505">
                  <c:v>227.09641125733188</c:v>
                </c:pt>
                <c:pt idx="506">
                  <c:v>224.90584842567219</c:v>
                </c:pt>
                <c:pt idx="507">
                  <c:v>222.74208025543109</c:v>
                </c:pt>
                <c:pt idx="508">
                  <c:v>220.60445990135307</c:v>
                </c:pt>
                <c:pt idx="509">
                  <c:v>218.49236145224438</c:v>
                </c:pt>
                <c:pt idx="510">
                  <c:v>216.40517909354335</c:v>
                </c:pt>
                <c:pt idx="511">
                  <c:v>214.34232631058205</c:v>
                </c:pt>
                <c:pt idx="512">
                  <c:v>212.30323513026212</c:v>
                </c:pt>
                <c:pt idx="513">
                  <c:v>210.28735539901376</c:v>
                </c:pt>
                <c:pt idx="514">
                  <c:v>208.29415409504176</c:v>
                </c:pt>
                <c:pt idx="515">
                  <c:v>206.32311467298911</c:v>
                </c:pt>
                <c:pt idx="516">
                  <c:v>204.37373643926537</c:v>
                </c:pt>
                <c:pt idx="517">
                  <c:v>202.44553395639704</c:v>
                </c:pt>
                <c:pt idx="518">
                  <c:v>200.53803647485691</c:v>
                </c:pt>
                <c:pt idx="519">
                  <c:v>198.65078739092544</c:v>
                </c:pt>
                <c:pt idx="520">
                  <c:v>196.78334372922495</c:v>
                </c:pt>
                <c:pt idx="521">
                  <c:v>194.9352756486484</c:v>
                </c:pt>
                <c:pt idx="522">
                  <c:v>193.10616597048349</c:v>
                </c:pt>
                <c:pt idx="523">
                  <c:v>191.2956097276014</c:v>
                </c:pt>
                <c:pt idx="524">
                  <c:v>189.50321373364969</c:v>
                </c:pt>
                <c:pt idx="525">
                  <c:v>187.7285961712482</c:v>
                </c:pt>
                <c:pt idx="526">
                  <c:v>185.97138619824756</c:v>
                </c:pt>
                <c:pt idx="527">
                  <c:v>184.2312235711637</c:v>
                </c:pt>
                <c:pt idx="528">
                  <c:v>182.50775828495284</c:v>
                </c:pt>
                <c:pt idx="529">
                  <c:v>180.80065022833986</c:v>
                </c:pt>
                <c:pt idx="530">
                  <c:v>179.10956885395797</c:v>
                </c:pt>
                <c:pt idx="531">
                  <c:v>177.4341928625991</c:v>
                </c:pt>
                <c:pt idx="532">
                  <c:v>175.77420990091545</c:v>
                </c:pt>
                <c:pt idx="533">
                  <c:v>174.12931627194817</c:v>
                </c:pt>
                <c:pt idx="534">
                  <c:v>172.49921665789549</c:v>
                </c:pt>
                <c:pt idx="535">
                  <c:v>170.88362385456509</c:v>
                </c:pt>
                <c:pt idx="536">
                  <c:v>169.28225851698585</c:v>
                </c:pt>
                <c:pt idx="537">
                  <c:v>167.69484891568419</c:v>
                </c:pt>
                <c:pt idx="538">
                  <c:v>166.12113070315732</c:v>
                </c:pt>
                <c:pt idx="539">
                  <c:v>164.56084669010107</c:v>
                </c:pt>
                <c:pt idx="540">
                  <c:v>163.01374663097556</c:v>
                </c:pt>
                <c:pt idx="541">
                  <c:v>161.47958701851357</c:v>
                </c:pt>
                <c:pt idx="542">
                  <c:v>159.95813088679972</c:v>
                </c:pt>
                <c:pt idx="543">
                  <c:v>158.44914762256826</c:v>
                </c:pt>
                <c:pt idx="544">
                  <c:v>156.95241278438675</c:v>
                </c:pt>
                <c:pt idx="545">
                  <c:v>155.46770792941192</c:v>
                </c:pt>
                <c:pt idx="546">
                  <c:v>153.99482044742135</c:v>
                </c:pt>
                <c:pt idx="547">
                  <c:v>152.53354340184086</c:v>
                </c:pt>
                <c:pt idx="548">
                  <c:v>151.08367537750337</c:v>
                </c:pt>
                <c:pt idx="549">
                  <c:v>149.64502033489089</c:v>
                </c:pt>
                <c:pt idx="550">
                  <c:v>148.21738747062403</c:v>
                </c:pt>
                <c:pt idx="551">
                  <c:v>146.8005910839785</c:v>
                </c:pt>
                <c:pt idx="552">
                  <c:v>145.39445044921999</c:v>
                </c:pt>
                <c:pt idx="553">
                  <c:v>143.99878969356195</c:v>
                </c:pt>
                <c:pt idx="554">
                  <c:v>142.6134376805627</c:v>
                </c:pt>
                <c:pt idx="555">
                  <c:v>141.23822789878832</c:v>
                </c:pt>
                <c:pt idx="556">
                  <c:v>139.87299835558136</c:v>
                </c:pt>
                <c:pt idx="557">
                  <c:v>138.5175914757825</c:v>
                </c:pt>
                <c:pt idx="558">
                  <c:v>137.17185400526586</c:v>
                </c:pt>
                <c:pt idx="559">
                  <c:v>135.83563691915583</c:v>
                </c:pt>
                <c:pt idx="560">
                  <c:v>134.50879533460346</c:v>
                </c:pt>
                <c:pt idx="561">
                  <c:v>133.19118842801072</c:v>
                </c:pt>
                <c:pt idx="562">
                  <c:v>131.88267935659772</c:v>
                </c:pt>
                <c:pt idx="563">
                  <c:v>130.58313518421852</c:v>
                </c:pt>
                <c:pt idx="564">
                  <c:v>129.29242681133843</c:v>
                </c:pt>
                <c:pt idx="565">
                  <c:v>128.010428909094</c:v>
                </c:pt>
                <c:pt idx="566">
                  <c:v>126.73701985736569</c:v>
                </c:pt>
                <c:pt idx="567">
                  <c:v>125.4720816868</c:v>
                </c:pt>
                <c:pt idx="568">
                  <c:v>124.2155000247265</c:v>
                </c:pt>
                <c:pt idx="569">
                  <c:v>122.96716404492248</c:v>
                </c:pt>
                <c:pt idx="570">
                  <c:v>121.72696642118558</c:v>
                </c:pt>
                <c:pt idx="571">
                  <c:v>120.49480328468208</c:v>
                </c:pt>
                <c:pt idx="572">
                  <c:v>119.27057418504663</c:v>
                </c:pt>
                <c:pt idx="573">
                  <c:v>118.05418205521586</c:v>
                </c:pt>
                <c:pt idx="574">
                  <c:v>116.84553317998648</c:v>
                </c:pt>
                <c:pt idx="575">
                  <c:v>115.64453716829544</c:v>
                </c:pt>
                <c:pt idx="576">
                  <c:v>114.45110692922761</c:v>
                </c:pt>
                <c:pt idx="577">
                  <c:v>113.26515865176378</c:v>
                </c:pt>
                <c:pt idx="578">
                  <c:v>112.08661178828963</c:v>
                </c:pt>
                <c:pt idx="579">
                  <c:v>110.91538904189368</c:v>
                </c:pt>
                <c:pt idx="580">
                  <c:v>109.75141635749064</c:v>
                </c:pt>
                <c:pt idx="581">
                  <c:v>108.59462291681398</c:v>
                </c:pt>
                <c:pt idx="582">
                  <c:v>107.44494113732986</c:v>
                </c:pt>
                <c:pt idx="583">
                  <c:v>106.30230667513297</c:v>
                </c:pt>
                <c:pt idx="584">
                  <c:v>105.1666584318927</c:v>
                </c:pt>
                <c:pt idx="585">
                  <c:v>104.03793856592731</c:v>
                </c:pt>
                <c:pt idx="586">
                  <c:v>102.91609250749177</c:v>
                </c:pt>
                <c:pt idx="587">
                  <c:v>101.80106897837464</c:v>
                </c:pt>
                <c:pt idx="588">
                  <c:v>100.69282001590759</c:v>
                </c:pt>
                <c:pt idx="589">
                  <c:v>99.591301001501321</c:v>
                </c:pt>
                <c:pt idx="590">
                  <c:v>98.496470693830602</c:v>
                </c:pt>
                <c:pt idx="591">
                  <c:v>97.408291266800788</c:v>
                </c:pt>
                <c:pt idx="592">
                  <c:v>96.326728352438664</c:v>
                </c:pt>
                <c:pt idx="593">
                  <c:v>95.251751088859535</c:v>
                </c:pt>
                <c:pt idx="594">
                  <c:v>94.183332173473687</c:v>
                </c:pt>
                <c:pt idx="595">
                  <c:v>93.121447921604641</c:v>
                </c:pt>
                <c:pt idx="596">
                  <c:v>92.066078330702879</c:v>
                </c:pt>
                <c:pt idx="597">
                  <c:v>91.017207150348511</c:v>
                </c:pt>
                <c:pt idx="598">
                  <c:v>89.974821958247148</c:v>
                </c:pt>
                <c:pt idx="599">
                  <c:v>88.938914242433185</c:v>
                </c:pt>
                <c:pt idx="600">
                  <c:v>87.909479489905564</c:v>
                </c:pt>
                <c:pt idx="601">
                  <c:v>86.886517281929855</c:v>
                </c:pt>
                <c:pt idx="602">
                  <c:v>85.870031396251349</c:v>
                </c:pt>
                <c:pt idx="603">
                  <c:v>84.860029916471774</c:v>
                </c:pt>
                <c:pt idx="604">
                  <c:v>83.856525348851207</c:v>
                </c:pt>
                <c:pt idx="605">
                  <c:v>82.85953474680386</c:v>
                </c:pt>
                <c:pt idx="606">
                  <c:v>81.86907984336294</c:v>
                </c:pt>
                <c:pt idx="607">
                  <c:v>80.885187191894886</c:v>
                </c:pt>
                <c:pt idx="608">
                  <c:v>79.907888315346142</c:v>
                </c:pt>
                <c:pt idx="609">
                  <c:v>78.937219864307352</c:v>
                </c:pt>
                <c:pt idx="610">
                  <c:v>77.9732237841786</c:v>
                </c:pt>
                <c:pt idx="611">
                  <c:v>77.015947491715025</c:v>
                </c:pt>
                <c:pt idx="612">
                  <c:v>76.065444061224923</c:v>
                </c:pt>
                <c:pt idx="613">
                  <c:v>75.121772420680983</c:v>
                </c:pt>
                <c:pt idx="614">
                  <c:v>74.184997557988311</c:v>
                </c:pt>
                <c:pt idx="615">
                  <c:v>73.255190737632006</c:v>
                </c:pt>
                <c:pt idx="616">
                  <c:v>72.332429727898145</c:v>
                </c:pt>
                <c:pt idx="617">
                  <c:v>71.416799038826198</c:v>
                </c:pt>
                <c:pt idx="618">
                  <c:v>70.508390171006994</c:v>
                </c:pt>
                <c:pt idx="619">
                  <c:v>69.607301875285856</c:v>
                </c:pt>
                <c:pt idx="620">
                  <c:v>68.713640423364836</c:v>
                </c:pt>
                <c:pt idx="621">
                  <c:v>67.827519889220113</c:v>
                </c:pt>
                <c:pt idx="622">
                  <c:v>66.949062441157068</c:v>
                </c:pt>
                <c:pt idx="623">
                  <c:v>66.078398644216463</c:v>
                </c:pt>
                <c:pt idx="624">
                  <c:v>65.215667772516838</c:v>
                </c:pt>
                <c:pt idx="625">
                  <c:v>64.361018130969583</c:v>
                </c:pt>
                <c:pt idx="626">
                  <c:v>63.5146073856302</c:v>
                </c:pt>
                <c:pt idx="627">
                  <c:v>62.676602901752219</c:v>
                </c:pt>
                <c:pt idx="628">
                  <c:v>61.847182088382468</c:v>
                </c:pt>
                <c:pt idx="629">
                  <c:v>61.026532748079028</c:v>
                </c:pt>
                <c:pt idx="630">
                  <c:v>60.214853430040257</c:v>
                </c:pt>
                <c:pt idx="631">
                  <c:v>59.412353784604058</c:v>
                </c:pt>
                <c:pt idx="632">
                  <c:v>58.619254916706574</c:v>
                </c:pt>
                <c:pt idx="633">
                  <c:v>57.835789735477718</c:v>
                </c:pt>
                <c:pt idx="634">
                  <c:v>57.062203296693767</c:v>
                </c:pt>
                <c:pt idx="635">
                  <c:v>56.298753134303652</c:v>
                </c:pt>
                <c:pt idx="636">
                  <c:v>55.545709576694854</c:v>
                </c:pt>
                <c:pt idx="637">
                  <c:v>54.803356042765465</c:v>
                </c:pt>
                <c:pt idx="638">
                  <c:v>54.071989312224197</c:v>
                </c:pt>
                <c:pt idx="639">
                  <c:v>53.351919763851036</c:v>
                </c:pt>
                <c:pt idx="640">
                  <c:v>52.643471574723364</c:v>
                </c:pt>
                <c:pt idx="641">
                  <c:v>51.946982872653166</c:v>
                </c:pt>
                <c:pt idx="642">
                  <c:v>51.262805833299851</c:v>
                </c:pt>
                <c:pt idx="643">
                  <c:v>50.591306712634662</c:v>
                </c:pt>
                <c:pt idx="644">
                  <c:v>49.932865804653559</c:v>
                </c:pt>
                <c:pt idx="645">
                  <c:v>49.28787731348794</c:v>
                </c:pt>
                <c:pt idx="646">
                  <c:v>48.656749128374003</c:v>
                </c:pt>
                <c:pt idx="647">
                  <c:v>48.039902489343525</c:v>
                </c:pt>
                <c:pt idx="648">
                  <c:v>47.437771531029234</c:v>
                </c:pt>
                <c:pt idx="649">
                  <c:v>46.850802691680691</c:v>
                </c:pt>
                <c:pt idx="650">
                  <c:v>46.279453974408561</c:v>
                </c:pt>
                <c:pt idx="651">
                  <c:v>45.724194047870981</c:v>
                </c:pt>
                <c:pt idx="652">
                  <c:v>45.185501174140086</c:v>
                </c:pt>
                <c:pt idx="653">
                  <c:v>44.663861952398648</c:v>
                </c:pt>
                <c:pt idx="654">
                  <c:v>44.159769868472054</c:v>
                </c:pt>
                <c:pt idx="655">
                  <c:v>43.673723642053503</c:v>
                </c:pt>
                <c:pt idx="656">
                  <c:v>43.206225365875063</c:v>
                </c:pt>
                <c:pt idx="657">
                  <c:v>42.757778434047644</c:v>
                </c:pt>
                <c:pt idx="658">
                  <c:v>42.328885260355129</c:v>
                </c:pt>
                <c:pt idx="659">
                  <c:v>41.920044791435764</c:v>
                </c:pt>
                <c:pt idx="660">
                  <c:v>41.53174982448413</c:v>
                </c:pt>
                <c:pt idx="661">
                  <c:v>41.164484144293205</c:v>
                </c:pt>
                <c:pt idx="662">
                  <c:v>40.818719500027015</c:v>
                </c:pt>
                <c:pt idx="663">
                  <c:v>40.494912447930105</c:v>
                </c:pt>
                <c:pt idx="664">
                  <c:v>40.19350109206222</c:v>
                </c:pt>
                <c:pt idx="665">
                  <c:v>39.914901760882401</c:v>
                </c:pt>
                <c:pt idx="666">
                  <c:v>39.659505662853391</c:v>
                </c:pt>
                <c:pt idx="667">
                  <c:v>39.427675568932521</c:v>
                </c:pt>
                <c:pt idx="668">
                  <c:v>39.219742573590104</c:v>
                </c:pt>
                <c:pt idx="669">
                  <c:v>39.036002988589729</c:v>
                </c:pt>
                <c:pt idx="670">
                  <c:v>38.876715424942908</c:v>
                </c:pt>
                <c:pt idx="671">
                  <c:v>38.742098118023442</c:v>
                </c:pt>
                <c:pt idx="672">
                  <c:v>38.63232654866848</c:v>
                </c:pt>
                <c:pt idx="673">
                  <c:v>38.547531409153052</c:v>
                </c:pt>
                <c:pt idx="674">
                  <c:v>38.487796957243191</c:v>
                </c:pt>
                <c:pt idx="675">
                  <c:v>38.453159794241337</c:v>
                </c:pt>
                <c:pt idx="676">
                  <c:v>38.443608094260227</c:v>
                </c:pt>
                <c:pt idx="677">
                  <c:v>38.459081302204943</c:v>
                </c:pt>
                <c:pt idx="678">
                  <c:v>38.499470307479029</c:v>
                </c:pt>
                <c:pt idx="679">
                  <c:v>38.564618089676507</c:v>
                </c:pt>
                <c:pt idx="680">
                  <c:v>38.654320821913245</c:v>
                </c:pt>
                <c:pt idx="681">
                  <c:v>38.768329407414406</c:v>
                </c:pt>
                <c:pt idx="682">
                  <c:v>38.906351415900524</c:v>
                </c:pt>
                <c:pt idx="683">
                  <c:v>39.068053378535417</c:v>
                </c:pt>
                <c:pt idx="684">
                  <c:v>39.253063393967466</c:v>
                </c:pt>
                <c:pt idx="685">
                  <c:v>39.460973993477751</c:v>
                </c:pt>
                <c:pt idx="686">
                  <c:v>39.691345210514491</c:v>
                </c:pt>
                <c:pt idx="687">
                  <c:v>39.943707798922851</c:v>
                </c:pt>
                <c:pt idx="688">
                  <c:v>40.217566544870657</c:v>
                </c:pt>
                <c:pt idx="689">
                  <c:v>40.512403619652567</c:v>
                </c:pt>
                <c:pt idx="690">
                  <c:v>40.827681924005482</c:v>
                </c:pt>
                <c:pt idx="691">
                  <c:v>41.162848379031686</c:v>
                </c:pt>
                <c:pt idx="692">
                  <c:v>41.517337124033119</c:v>
                </c:pt>
                <c:pt idx="693">
                  <c:v>41.890572587242005</c:v>
                </c:pt>
                <c:pt idx="694">
                  <c:v>42.28197240133877</c:v>
                </c:pt>
                <c:pt idx="695">
                  <c:v>42.690950141550822</c:v>
                </c:pt>
                <c:pt idx="696">
                  <c:v>43.116917869835099</c:v>
                </c:pt>
                <c:pt idx="697">
                  <c:v>43.559288474008135</c:v>
                </c:pt>
                <c:pt idx="698">
                  <c:v>44.017477795586181</c:v>
                </c:pt>
                <c:pt idx="699">
                  <c:v>44.490906544455171</c:v>
                </c:pt>
                <c:pt idx="700">
                  <c:v>44.979002002263464</c:v>
                </c:pt>
                <c:pt idx="701">
                  <c:v>45.481199519604239</c:v>
                </c:pt>
                <c:pt idx="702">
                  <c:v>45.996943814638911</c:v>
                </c:pt>
                <c:pt idx="703">
                  <c:v>46.525690082837556</c:v>
                </c:pt>
                <c:pt idx="704">
                  <c:v>47.066904929018428</c:v>
                </c:pt>
                <c:pt idx="705">
                  <c:v>47.620067133909508</c:v>
                </c:pt>
                <c:pt idx="706">
                  <c:v>48.18466826808617</c:v>
                </c:pt>
                <c:pt idx="707">
                  <c:v>48.760213166420115</c:v>
                </c:pt>
                <c:pt idx="708">
                  <c:v>49.346220276162647</c:v>
                </c:pt>
                <c:pt idx="709">
                  <c:v>49.942221891535617</c:v>
                </c:pt>
                <c:pt idx="710">
                  <c:v>50.547764287266112</c:v>
                </c:pt>
                <c:pt idx="711">
                  <c:v>51.162407762921561</c:v>
                </c:pt>
                <c:pt idx="712">
                  <c:v>51.785726609221079</c:v>
                </c:pt>
                <c:pt idx="713">
                  <c:v>52.41730900674969</c:v>
                </c:pt>
                <c:pt idx="714">
                  <c:v>53.056756866714693</c:v>
                </c:pt>
                <c:pt idx="715">
                  <c:v>53.703685622580544</c:v>
                </c:pt>
                <c:pt idx="716">
                  <c:v>54.357723980619937</c:v>
                </c:pt>
                <c:pt idx="717">
                  <c:v>55.018513636639042</c:v>
                </c:pt>
                <c:pt idx="718">
                  <c:v>55.68570896538467</c:v>
                </c:pt>
                <c:pt idx="719">
                  <c:v>56.358976688429898</c:v>
                </c:pt>
                <c:pt idx="720">
                  <c:v>57.037995525666382</c:v>
                </c:pt>
                <c:pt idx="721">
                  <c:v>57.722455834910654</c:v>
                </c:pt>
                <c:pt idx="722">
                  <c:v>58.41205924355927</c:v>
                </c:pt>
                <c:pt idx="723">
                  <c:v>59.106518275703941</c:v>
                </c:pt>
                <c:pt idx="724">
                  <c:v>59.80555597764176</c:v>
                </c:pt>
                <c:pt idx="725">
                  <c:v>60.508905544286648</c:v>
                </c:pt>
                <c:pt idx="726">
                  <c:v>61.216309948601861</c:v>
                </c:pt>
                <c:pt idx="727">
                  <c:v>61.927521575830013</c:v>
                </c:pt>
                <c:pt idx="728">
                  <c:v>62.64230186399142</c:v>
                </c:pt>
                <c:pt idx="729">
                  <c:v>63.360420951851637</c:v>
                </c:pt>
                <c:pt idx="730">
                  <c:v>64.081657335322504</c:v>
                </c:pt>
                <c:pt idx="731">
                  <c:v>64.805797533053351</c:v>
                </c:pt>
                <c:pt idx="732">
                  <c:v>65.532635761789152</c:v>
                </c:pt>
                <c:pt idx="733">
                  <c:v>66.261973621916283</c:v>
                </c:pt>
                <c:pt idx="734">
                  <c:v>66.993619793482566</c:v>
                </c:pt>
                <c:pt idx="735">
                  <c:v>67.727389742863409</c:v>
                </c:pt>
                <c:pt idx="736">
                  <c:v>68.463105440148382</c:v>
                </c:pt>
                <c:pt idx="737">
                  <c:v>69.200595087240671</c:v>
                </c:pt>
                <c:pt idx="738">
                  <c:v>69.939692856592345</c:v>
                </c:pt>
                <c:pt idx="739">
                  <c:v>70.680238640442056</c:v>
                </c:pt>
                <c:pt idx="740">
                  <c:v>71.422077810374688</c:v>
                </c:pt>
                <c:pt idx="741">
                  <c:v>72.165060986984528</c:v>
                </c:pt>
                <c:pt idx="742">
                  <c:v>72.909043819394043</c:v>
                </c:pt>
                <c:pt idx="743">
                  <c:v>73.653886774356408</c:v>
                </c:pt>
                <c:pt idx="744">
                  <c:v>74.399454934652809</c:v>
                </c:pt>
                <c:pt idx="745">
                  <c:v>75.145617806482718</c:v>
                </c:pt>
                <c:pt idx="746">
                  <c:v>75.892249135536971</c:v>
                </c:pt>
                <c:pt idx="747">
                  <c:v>76.639226731438541</c:v>
                </c:pt>
                <c:pt idx="748">
                  <c:v>77.386432300234176</c:v>
                </c:pt>
                <c:pt idx="749">
                  <c:v>78.133751284620473</c:v>
                </c:pt>
                <c:pt idx="750">
                  <c:v>78.881072711590761</c:v>
                </c:pt>
                <c:pt idx="751">
                  <c:v>79.628289047193547</c:v>
                </c:pt>
                <c:pt idx="752">
                  <c:v>80.375296058099039</c:v>
                </c:pt>
                <c:pt idx="753">
                  <c:v>81.121992679677177</c:v>
                </c:pt>
                <c:pt idx="754">
                  <c:v>81.868280890298095</c:v>
                </c:pt>
                <c:pt idx="755">
                  <c:v>82.614065591574658</c:v>
                </c:pt>
                <c:pt idx="756">
                  <c:v>83.359254494275433</c:v>
                </c:pt>
                <c:pt idx="757">
                  <c:v>84.103758009645546</c:v>
                </c:pt>
                <c:pt idx="758">
                  <c:v>84.847489145882534</c:v>
                </c:pt>
                <c:pt idx="759">
                  <c:v>85.590363409523704</c:v>
                </c:pt>
                <c:pt idx="760">
                  <c:v>86.3322987115111</c:v>
                </c:pt>
                <c:pt idx="761">
                  <c:v>87.073215277709537</c:v>
                </c:pt>
                <c:pt idx="762">
                  <c:v>87.813035563663092</c:v>
                </c:pt>
                <c:pt idx="763">
                  <c:v>88.551684173383748</c:v>
                </c:pt>
                <c:pt idx="764">
                  <c:v>89.289087781976122</c:v>
                </c:pt>
                <c:pt idx="765">
                  <c:v>90.025175061909735</c:v>
                </c:pt>
                <c:pt idx="766">
                  <c:v>90.759876612760181</c:v>
                </c:pt>
                <c:pt idx="767">
                  <c:v>91.4931248942477</c:v>
                </c:pt>
                <c:pt idx="768">
                  <c:v>92.224854162410324</c:v>
                </c:pt>
                <c:pt idx="769">
                  <c:v>92.955000408756575</c:v>
                </c:pt>
                <c:pt idx="770">
                  <c:v>93.683501302249581</c:v>
                </c:pt>
                <c:pt idx="771">
                  <c:v>94.410296133982314</c:v>
                </c:pt>
                <c:pt idx="772">
                  <c:v>95.135325764409899</c:v>
                </c:pt>
                <c:pt idx="773">
                  <c:v>95.858532573011999</c:v>
                </c:pt>
                <c:pt idx="774">
                  <c:v>96.57986041026426</c:v>
                </c:pt>
                <c:pt idx="775">
                  <c:v>97.299254551803969</c:v>
                </c:pt>
                <c:pt idx="776">
                  <c:v>98.016661654680533</c:v>
                </c:pt>
                <c:pt idx="777">
                  <c:v>98.732029715587529</c:v>
                </c:pt>
                <c:pt idx="778">
                  <c:v>99.445308030977245</c:v>
                </c:pt>
                <c:pt idx="779">
                  <c:v>100.15644715896457</c:v>
                </c:pt>
                <c:pt idx="780">
                  <c:v>100.86539888293123</c:v>
                </c:pt>
                <c:pt idx="781">
                  <c:v>101.57211617674616</c:v>
                </c:pt>
                <c:pt idx="782">
                  <c:v>102.2765531715217</c:v>
                </c:pt>
                <c:pt idx="783">
                  <c:v>102.9786651238298</c:v>
                </c:pt>
                <c:pt idx="784">
                  <c:v>103.67840838530608</c:v>
                </c:pt>
                <c:pt idx="785">
                  <c:v>104.37574037357305</c:v>
                </c:pt>
                <c:pt idx="786">
                  <c:v>105.07061954441757</c:v>
                </c:pt>
                <c:pt idx="787">
                  <c:v>105.76300536516079</c:v>
                </c:pt>
                <c:pt idx="788">
                  <c:v>106.45285828916195</c:v>
                </c:pt>
                <c:pt idx="789">
                  <c:v>107.14013973140035</c:v>
                </c:pt>
                <c:pt idx="790">
                  <c:v>107.8248120450826</c:v>
                </c:pt>
                <c:pt idx="791">
                  <c:v>108.50683849922505</c:v>
                </c:pt>
                <c:pt idx="792">
                  <c:v>109.18618325716382</c:v>
                </c:pt>
                <c:pt idx="793">
                  <c:v>109.86281135594685</c:v>
                </c:pt>
                <c:pt idx="794">
                  <c:v>110.53668868656536</c:v>
                </c:pt>
                <c:pt idx="795">
                  <c:v>111.20778197498376</c:v>
                </c:pt>
                <c:pt idx="796">
                  <c:v>111.87605876392898</c:v>
                </c:pt>
                <c:pt idx="797">
                  <c:v>112.54148739540288</c:v>
                </c:pt>
                <c:pt idx="798">
                  <c:v>113.2040369938822</c:v>
                </c:pt>
                <c:pt idx="799">
                  <c:v>113.86367745017314</c:v>
                </c:pt>
                <c:pt idx="800">
                  <c:v>114.52037940588882</c:v>
                </c:pt>
                <c:pt idx="801">
                  <c:v>115.17411423851942</c:v>
                </c:pt>
                <c:pt idx="802">
                  <c:v>115.82485404706685</c:v>
                </c:pt>
                <c:pt idx="803">
                  <c:v>116.47257163821627</c:v>
                </c:pt>
                <c:pt idx="804">
                  <c:v>117.11724051301898</c:v>
                </c:pt>
                <c:pt idx="805">
                  <c:v>117.75883485406214</c:v>
                </c:pt>
                <c:pt idx="806">
                  <c:v>118.39732951310158</c:v>
                </c:pt>
                <c:pt idx="807">
                  <c:v>119.032699999136</c:v>
                </c:pt>
                <c:pt idx="808">
                  <c:v>119.66492246690109</c:v>
                </c:pt>
                <c:pt idx="809">
                  <c:v>120.29397370576349</c:v>
                </c:pt>
                <c:pt idx="810">
                  <c:v>120.91983112899557</c:v>
                </c:pt>
                <c:pt idx="811">
                  <c:v>121.54247276341283</c:v>
                </c:pt>
                <c:pt idx="812">
                  <c:v>122.1618772393564</c:v>
                </c:pt>
                <c:pt idx="813">
                  <c:v>122.77802378100441</c:v>
                </c:pt>
                <c:pt idx="814">
                  <c:v>123.39089219699623</c:v>
                </c:pt>
                <c:pt idx="815">
                  <c:v>124.00046287135503</c:v>
                </c:pt>
                <c:pt idx="816">
                  <c:v>124.60671675469393</c:v>
                </c:pt>
                <c:pt idx="817">
                  <c:v>125.20963535569267</c:v>
                </c:pt>
                <c:pt idx="818">
                  <c:v>125.80920073283148</c:v>
                </c:pt>
                <c:pt idx="819">
                  <c:v>126.40539548637031</c:v>
                </c:pt>
                <c:pt idx="820">
                  <c:v>126.99820275056112</c:v>
                </c:pt>
                <c:pt idx="821">
                  <c:v>127.58760618608268</c:v>
                </c:pt>
                <c:pt idx="822">
                  <c:v>128.17358997268684</c:v>
                </c:pt>
                <c:pt idx="823">
                  <c:v>128.75613880204637</c:v>
                </c:pt>
                <c:pt idx="824">
                  <c:v>129.33523787079454</c:v>
                </c:pt>
                <c:pt idx="825">
                  <c:v>129.91087287374745</c:v>
                </c:pt>
                <c:pt idx="826">
                  <c:v>130.48302999730032</c:v>
                </c:pt>
                <c:pt idx="827">
                  <c:v>131.05169591298906</c:v>
                </c:pt>
                <c:pt idx="828">
                  <c:v>131.61685777120979</c:v>
                </c:pt>
                <c:pt idx="829">
                  <c:v>132.17850319508821</c:v>
                </c:pt>
                <c:pt idx="830">
                  <c:v>132.7366202744918</c:v>
                </c:pt>
                <c:pt idx="831">
                  <c:v>133.29119756017798</c:v>
                </c:pt>
                <c:pt idx="832">
                  <c:v>133.84222405807159</c:v>
                </c:pt>
                <c:pt idx="833">
                  <c:v>134.38968922366567</c:v>
                </c:pt>
                <c:pt idx="834">
                  <c:v>134.93358295653914</c:v>
                </c:pt>
                <c:pt idx="835">
                  <c:v>135.47389559498632</c:v>
                </c:pt>
                <c:pt idx="836">
                  <c:v>136.01061791075233</c:v>
                </c:pt>
                <c:pt idx="837">
                  <c:v>136.54374110386942</c:v>
                </c:pt>
                <c:pt idx="838">
                  <c:v>137.07325679758961</c:v>
                </c:pt>
                <c:pt idx="839">
                  <c:v>137.59915703340837</c:v>
                </c:pt>
                <c:pt idx="840">
                  <c:v>138.12143426617553</c:v>
                </c:pt>
                <c:pt idx="841">
                  <c:v>138.64008135928876</c:v>
                </c:pt>
                <c:pt idx="842">
                  <c:v>139.1550915799657</c:v>
                </c:pt>
                <c:pt idx="843">
                  <c:v>139.66645859459078</c:v>
                </c:pt>
                <c:pt idx="844">
                  <c:v>140.17417646413369</c:v>
                </c:pt>
                <c:pt idx="845">
                  <c:v>140.67823963963485</c:v>
                </c:pt>
                <c:pt idx="846">
                  <c:v>141.17864295775581</c:v>
                </c:pt>
                <c:pt idx="847">
                  <c:v>141.67538163639045</c:v>
                </c:pt>
                <c:pt idx="848">
                  <c:v>142.16845127033497</c:v>
                </c:pt>
                <c:pt idx="849">
                  <c:v>142.65784782701246</c:v>
                </c:pt>
                <c:pt idx="850">
                  <c:v>143.14356764225093</c:v>
                </c:pt>
                <c:pt idx="851">
                  <c:v>143.62560741611088</c:v>
                </c:pt>
                <c:pt idx="852">
                  <c:v>144.10396420876077</c:v>
                </c:pt>
                <c:pt idx="853">
                  <c:v>144.57863543639792</c:v>
                </c:pt>
                <c:pt idx="854">
                  <c:v>145.04961886721213</c:v>
                </c:pt>
                <c:pt idx="855">
                  <c:v>145.51691261739083</c:v>
                </c:pt>
                <c:pt idx="856">
                  <c:v>145.98051514716295</c:v>
                </c:pt>
                <c:pt idx="857">
                  <c:v>146.44042525688013</c:v>
                </c:pt>
                <c:pt idx="858">
                  <c:v>146.89664208313314</c:v>
                </c:pt>
                <c:pt idx="859">
                  <c:v>147.34916509490236</c:v>
                </c:pt>
                <c:pt idx="860">
                  <c:v>147.79799408973994</c:v>
                </c:pt>
                <c:pt idx="861">
                  <c:v>148.24312918998291</c:v>
                </c:pt>
                <c:pt idx="862">
                  <c:v>148.68457083899523</c:v>
                </c:pt>
                <c:pt idx="863">
                  <c:v>149.122319797438</c:v>
                </c:pt>
                <c:pt idx="864">
                  <c:v>149.55637713956585</c:v>
                </c:pt>
                <c:pt idx="865">
                  <c:v>149.98674424954885</c:v>
                </c:pt>
                <c:pt idx="866">
                  <c:v>150.41342281781891</c:v>
                </c:pt>
                <c:pt idx="867">
                  <c:v>150.83641483743881</c:v>
                </c:pt>
                <c:pt idx="868">
                  <c:v>151.25572260049412</c:v>
                </c:pt>
                <c:pt idx="869">
                  <c:v>151.67134869450581</c:v>
                </c:pt>
                <c:pt idx="870">
                  <c:v>152.08329599886335</c:v>
                </c:pt>
                <c:pt idx="871">
                  <c:v>152.49156768127767</c:v>
                </c:pt>
                <c:pt idx="872">
                  <c:v>152.89616719425246</c:v>
                </c:pt>
                <c:pt idx="873">
                  <c:v>153.29709827157387</c:v>
                </c:pt>
                <c:pt idx="874">
                  <c:v>153.69436492481756</c:v>
                </c:pt>
                <c:pt idx="875">
                  <c:v>154.0879714398724</c:v>
                </c:pt>
                <c:pt idx="876">
                  <c:v>154.47792237348045</c:v>
                </c:pt>
                <c:pt idx="877">
                  <c:v>154.86422254979274</c:v>
                </c:pt>
                <c:pt idx="878">
                  <c:v>155.24687705694006</c:v>
                </c:pt>
                <c:pt idx="879">
                  <c:v>155.62589124361858</c:v>
                </c:pt>
                <c:pt idx="880">
                  <c:v>156.00127071568983</c:v>
                </c:pt>
                <c:pt idx="881">
                  <c:v>156.37302133279459</c:v>
                </c:pt>
                <c:pt idx="882">
                  <c:v>156.7411492049803</c:v>
                </c:pt>
                <c:pt idx="883">
                  <c:v>157.10566068934199</c:v>
                </c:pt>
                <c:pt idx="884">
                  <c:v>157.46656238667589</c:v>
                </c:pt>
                <c:pt idx="885">
                  <c:v>157.82386113814627</c:v>
                </c:pt>
                <c:pt idx="886">
                  <c:v>158.17756402196437</c:v>
                </c:pt>
                <c:pt idx="887">
                  <c:v>158.52767835008004</c:v>
                </c:pt>
                <c:pt idx="888">
                  <c:v>158.87421166488522</c:v>
                </c:pt>
                <c:pt idx="889">
                  <c:v>159.21717173592987</c:v>
                </c:pt>
                <c:pt idx="890">
                  <c:v>159.5565665566495</c:v>
                </c:pt>
                <c:pt idx="891">
                  <c:v>159.89240434110471</c:v>
                </c:pt>
                <c:pt idx="892">
                  <c:v>160.22469352073244</c:v>
                </c:pt>
                <c:pt idx="893">
                  <c:v>160.55344274110882</c:v>
                </c:pt>
                <c:pt idx="894">
                  <c:v>160.87866085872395</c:v>
                </c:pt>
                <c:pt idx="895">
                  <c:v>161.20035693776791</c:v>
                </c:pt>
                <c:pt idx="896">
                  <c:v>161.51854024692895</c:v>
                </c:pt>
                <c:pt idx="897">
                  <c:v>161.83322025620279</c:v>
                </c:pt>
                <c:pt idx="898">
                  <c:v>162.14440663371417</c:v>
                </c:pt>
                <c:pt idx="899">
                  <c:v>162.45210924254962</c:v>
                </c:pt>
                <c:pt idx="900">
                  <c:v>162.75633813760231</c:v>
                </c:pt>
                <c:pt idx="901">
                  <c:v>163.05710356242886</c:v>
                </c:pt>
                <c:pt idx="902">
                  <c:v>163.35441594611788</c:v>
                </c:pt>
                <c:pt idx="903">
                  <c:v>163.64828590017066</c:v>
                </c:pt>
                <c:pt idx="904">
                  <c:v>163.9387242153941</c:v>
                </c:pt>
                <c:pt idx="905">
                  <c:v>164.22574185880592</c:v>
                </c:pt>
                <c:pt idx="906">
                  <c:v>164.50934997055197</c:v>
                </c:pt>
                <c:pt idx="907">
                  <c:v>164.78955986083665</c:v>
                </c:pt>
                <c:pt idx="908">
                  <c:v>165.06638300686552</c:v>
                </c:pt>
                <c:pt idx="909">
                  <c:v>165.33983104980106</c:v>
                </c:pt>
                <c:pt idx="910">
                  <c:v>165.60991579173117</c:v>
                </c:pt>
                <c:pt idx="911">
                  <c:v>165.87664919265114</c:v>
                </c:pt>
                <c:pt idx="912">
                  <c:v>166.1400433674587</c:v>
                </c:pt>
                <c:pt idx="913">
                  <c:v>166.40011058296281</c:v>
                </c:pt>
                <c:pt idx="914">
                  <c:v>166.65686325490589</c:v>
                </c:pt>
                <c:pt idx="915">
                  <c:v>166.91031394500021</c:v>
                </c:pt>
                <c:pt idx="916">
                  <c:v>167.16047535797816</c:v>
                </c:pt>
                <c:pt idx="917">
                  <c:v>167.40736033865687</c:v>
                </c:pt>
                <c:pt idx="918">
                  <c:v>167.6509818690173</c:v>
                </c:pt>
                <c:pt idx="919">
                  <c:v>167.89135306529801</c:v>
                </c:pt>
                <c:pt idx="920">
                  <c:v>168.12848717510371</c:v>
                </c:pt>
                <c:pt idx="921">
                  <c:v>168.3623975745291</c:v>
                </c:pt>
                <c:pt idx="922">
                  <c:v>168.59309776529767</c:v>
                </c:pt>
                <c:pt idx="923">
                  <c:v>168.8206013719163</c:v>
                </c:pt>
                <c:pt idx="924">
                  <c:v>169.04492213884538</c:v>
                </c:pt>
                <c:pt idx="925">
                  <c:v>169.04514324855634</c:v>
                </c:pt>
                <c:pt idx="926">
                  <c:v>169.04536435512009</c:v>
                </c:pt>
                <c:pt idx="927">
                  <c:v>169.04558545853664</c:v>
                </c:pt>
                <c:pt idx="928">
                  <c:v>169.04580655880602</c:v>
                </c:pt>
                <c:pt idx="929">
                  <c:v>169.04602765592827</c:v>
                </c:pt>
                <c:pt idx="930">
                  <c:v>169.04624874990333</c:v>
                </c:pt>
                <c:pt idx="931">
                  <c:v>169.04646984073131</c:v>
                </c:pt>
                <c:pt idx="932">
                  <c:v>169.04669092841212</c:v>
                </c:pt>
                <c:pt idx="933">
                  <c:v>169.04691201294582</c:v>
                </c:pt>
                <c:pt idx="934">
                  <c:v>169.04713309433245</c:v>
                </c:pt>
                <c:pt idx="935">
                  <c:v>169.047354172572</c:v>
                </c:pt>
                <c:pt idx="936">
                  <c:v>169.0475752476645</c:v>
                </c:pt>
                <c:pt idx="937">
                  <c:v>169.04779631960994</c:v>
                </c:pt>
                <c:pt idx="938">
                  <c:v>169.04801738840834</c:v>
                </c:pt>
                <c:pt idx="939">
                  <c:v>169.04823845405971</c:v>
                </c:pt>
                <c:pt idx="940">
                  <c:v>169.04845951656407</c:v>
                </c:pt>
                <c:pt idx="941">
                  <c:v>169.04868057592145</c:v>
                </c:pt>
                <c:pt idx="942">
                  <c:v>169.04890163213187</c:v>
                </c:pt>
                <c:pt idx="943">
                  <c:v>169.04912268519527</c:v>
                </c:pt>
                <c:pt idx="944">
                  <c:v>169.04934373511173</c:v>
                </c:pt>
                <c:pt idx="945">
                  <c:v>169.04956478188129</c:v>
                </c:pt>
                <c:pt idx="946">
                  <c:v>169.04978582550388</c:v>
                </c:pt>
                <c:pt idx="947">
                  <c:v>169.05000686597958</c:v>
                </c:pt>
                <c:pt idx="948">
                  <c:v>169.05022790330835</c:v>
                </c:pt>
                <c:pt idx="949">
                  <c:v>169.05044893749027</c:v>
                </c:pt>
                <c:pt idx="950">
                  <c:v>169.05066996852534</c:v>
                </c:pt>
                <c:pt idx="951">
                  <c:v>169.05089099641353</c:v>
                </c:pt>
                <c:pt idx="952">
                  <c:v>169.05111202115486</c:v>
                </c:pt>
                <c:pt idx="953">
                  <c:v>169.05133304274938</c:v>
                </c:pt>
                <c:pt idx="954">
                  <c:v>169.05155406119707</c:v>
                </c:pt>
                <c:pt idx="955">
                  <c:v>169.05177507649796</c:v>
                </c:pt>
                <c:pt idx="956">
                  <c:v>169.05199608865206</c:v>
                </c:pt>
                <c:pt idx="957">
                  <c:v>169.05221709765942</c:v>
                </c:pt>
                <c:pt idx="958">
                  <c:v>169.05243810351999</c:v>
                </c:pt>
                <c:pt idx="959">
                  <c:v>169.05265910623382</c:v>
                </c:pt>
                <c:pt idx="960">
                  <c:v>169.05288010580094</c:v>
                </c:pt>
                <c:pt idx="961">
                  <c:v>169.05310110222132</c:v>
                </c:pt>
                <c:pt idx="962">
                  <c:v>169.05332209549499</c:v>
                </c:pt>
                <c:pt idx="963">
                  <c:v>169.05354308562201</c:v>
                </c:pt>
                <c:pt idx="964">
                  <c:v>169.05376407260232</c:v>
                </c:pt>
                <c:pt idx="965">
                  <c:v>169.05398505643598</c:v>
                </c:pt>
                <c:pt idx="966">
                  <c:v>169.05420603712298</c:v>
                </c:pt>
                <c:pt idx="967">
                  <c:v>169.05442701466336</c:v>
                </c:pt>
                <c:pt idx="968">
                  <c:v>169.05464798905714</c:v>
                </c:pt>
                <c:pt idx="969">
                  <c:v>169.05486896030425</c:v>
                </c:pt>
                <c:pt idx="970">
                  <c:v>169.05508992840481</c:v>
                </c:pt>
                <c:pt idx="971">
                  <c:v>169.05531089335881</c:v>
                </c:pt>
                <c:pt idx="972">
                  <c:v>169.05553185516621</c:v>
                </c:pt>
                <c:pt idx="973">
                  <c:v>169.0557528138271</c:v>
                </c:pt>
                <c:pt idx="974">
                  <c:v>169.05597376934139</c:v>
                </c:pt>
                <c:pt idx="975">
                  <c:v>169.0561947217092</c:v>
                </c:pt>
                <c:pt idx="976">
                  <c:v>169.05641567093051</c:v>
                </c:pt>
                <c:pt idx="977">
                  <c:v>169.0566366170053</c:v>
                </c:pt>
                <c:pt idx="978">
                  <c:v>169.0568575599336</c:v>
                </c:pt>
                <c:pt idx="979">
                  <c:v>169.05707849971546</c:v>
                </c:pt>
                <c:pt idx="980">
                  <c:v>169.05729943635086</c:v>
                </c:pt>
                <c:pt idx="981">
                  <c:v>169.05752036983981</c:v>
                </c:pt>
                <c:pt idx="982">
                  <c:v>169.05774130018233</c:v>
                </c:pt>
                <c:pt idx="983">
                  <c:v>169.05796222737843</c:v>
                </c:pt>
                <c:pt idx="984">
                  <c:v>169.05818315142815</c:v>
                </c:pt>
                <c:pt idx="985">
                  <c:v>169.05840407233151</c:v>
                </c:pt>
                <c:pt idx="986">
                  <c:v>169.05862499008845</c:v>
                </c:pt>
                <c:pt idx="987">
                  <c:v>169.05884590469907</c:v>
                </c:pt>
                <c:pt idx="988">
                  <c:v>169.05906681616335</c:v>
                </c:pt>
                <c:pt idx="989">
                  <c:v>169.05928772448129</c:v>
                </c:pt>
                <c:pt idx="990">
                  <c:v>169.0595086296529</c:v>
                </c:pt>
                <c:pt idx="991">
                  <c:v>169.05972953167819</c:v>
                </c:pt>
                <c:pt idx="992">
                  <c:v>169.05995043055725</c:v>
                </c:pt>
                <c:pt idx="993">
                  <c:v>169.06017132628998</c:v>
                </c:pt>
                <c:pt idx="994">
                  <c:v>169.0603922188765</c:v>
                </c:pt>
                <c:pt idx="995">
                  <c:v>169.06061310831674</c:v>
                </c:pt>
                <c:pt idx="996">
                  <c:v>169.06083399461079</c:v>
                </c:pt>
                <c:pt idx="997">
                  <c:v>169.06105487775858</c:v>
                </c:pt>
                <c:pt idx="998">
                  <c:v>169.0612757577602</c:v>
                </c:pt>
                <c:pt idx="999">
                  <c:v>169.06149663461559</c:v>
                </c:pt>
                <c:pt idx="1000">
                  <c:v>169.06171750832482</c:v>
                </c:pt>
              </c:numCache>
            </c:numRef>
          </c:yVal>
          <c:smooth val="0"/>
          <c:extLst>
            <c:ext xmlns:c16="http://schemas.microsoft.com/office/drawing/2014/chart" uri="{C3380CC4-5D6E-409C-BE32-E72D297353CC}">
              <c16:uniqueId val="{00000000-5E5E-49A9-9572-F68F3C525A8E}"/>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47.400100000000343</c:v>
                </c:pt>
                <c:pt idx="926">
                  <c:v>47.400200000000346</c:v>
                </c:pt>
                <c:pt idx="927">
                  <c:v>47.40030000000035</c:v>
                </c:pt>
                <c:pt idx="928">
                  <c:v>47.400400000000353</c:v>
                </c:pt>
                <c:pt idx="929">
                  <c:v>47.400500000000356</c:v>
                </c:pt>
                <c:pt idx="930">
                  <c:v>47.40060000000036</c:v>
                </c:pt>
                <c:pt idx="931">
                  <c:v>47.400700000000363</c:v>
                </c:pt>
                <c:pt idx="932">
                  <c:v>47.400800000000366</c:v>
                </c:pt>
                <c:pt idx="933">
                  <c:v>47.40090000000037</c:v>
                </c:pt>
                <c:pt idx="934">
                  <c:v>47.401000000000373</c:v>
                </c:pt>
                <c:pt idx="935">
                  <c:v>47.401100000000376</c:v>
                </c:pt>
                <c:pt idx="936">
                  <c:v>47.401200000000379</c:v>
                </c:pt>
                <c:pt idx="937">
                  <c:v>47.401300000000383</c:v>
                </c:pt>
                <c:pt idx="938">
                  <c:v>47.401400000000386</c:v>
                </c:pt>
                <c:pt idx="939">
                  <c:v>47.401500000000389</c:v>
                </c:pt>
                <c:pt idx="940">
                  <c:v>47.401600000000393</c:v>
                </c:pt>
                <c:pt idx="941">
                  <c:v>47.401700000000396</c:v>
                </c:pt>
                <c:pt idx="942">
                  <c:v>47.401800000000399</c:v>
                </c:pt>
                <c:pt idx="943">
                  <c:v>47.401900000000403</c:v>
                </c:pt>
                <c:pt idx="944">
                  <c:v>47.402000000000406</c:v>
                </c:pt>
                <c:pt idx="945">
                  <c:v>47.402100000000409</c:v>
                </c:pt>
                <c:pt idx="946">
                  <c:v>47.402200000000413</c:v>
                </c:pt>
                <c:pt idx="947">
                  <c:v>47.402300000000416</c:v>
                </c:pt>
                <c:pt idx="948">
                  <c:v>47.402400000000419</c:v>
                </c:pt>
                <c:pt idx="949">
                  <c:v>47.402500000000423</c:v>
                </c:pt>
                <c:pt idx="950">
                  <c:v>47.402600000000426</c:v>
                </c:pt>
                <c:pt idx="951">
                  <c:v>47.402700000000429</c:v>
                </c:pt>
                <c:pt idx="952">
                  <c:v>47.402800000000433</c:v>
                </c:pt>
                <c:pt idx="953">
                  <c:v>47.402900000000436</c:v>
                </c:pt>
                <c:pt idx="954">
                  <c:v>47.403000000000439</c:v>
                </c:pt>
                <c:pt idx="955">
                  <c:v>47.403100000000443</c:v>
                </c:pt>
                <c:pt idx="956">
                  <c:v>47.403200000000446</c:v>
                </c:pt>
                <c:pt idx="957">
                  <c:v>47.403300000000449</c:v>
                </c:pt>
                <c:pt idx="958">
                  <c:v>47.403400000000453</c:v>
                </c:pt>
                <c:pt idx="959">
                  <c:v>47.403500000000456</c:v>
                </c:pt>
                <c:pt idx="960">
                  <c:v>47.403600000000459</c:v>
                </c:pt>
                <c:pt idx="961">
                  <c:v>47.403700000000462</c:v>
                </c:pt>
                <c:pt idx="962">
                  <c:v>47.403800000000466</c:v>
                </c:pt>
                <c:pt idx="963">
                  <c:v>47.403900000000469</c:v>
                </c:pt>
                <c:pt idx="964">
                  <c:v>47.404000000000472</c:v>
                </c:pt>
                <c:pt idx="965">
                  <c:v>47.404100000000476</c:v>
                </c:pt>
                <c:pt idx="966">
                  <c:v>47.404200000000479</c:v>
                </c:pt>
                <c:pt idx="967">
                  <c:v>47.404300000000482</c:v>
                </c:pt>
                <c:pt idx="968">
                  <c:v>47.404400000000486</c:v>
                </c:pt>
                <c:pt idx="969">
                  <c:v>47.404500000000489</c:v>
                </c:pt>
                <c:pt idx="970">
                  <c:v>47.404600000000492</c:v>
                </c:pt>
                <c:pt idx="971">
                  <c:v>47.404700000000496</c:v>
                </c:pt>
                <c:pt idx="972">
                  <c:v>47.404800000000499</c:v>
                </c:pt>
                <c:pt idx="973">
                  <c:v>47.404900000000502</c:v>
                </c:pt>
                <c:pt idx="974">
                  <c:v>47.405000000000506</c:v>
                </c:pt>
                <c:pt idx="975">
                  <c:v>47.405100000000509</c:v>
                </c:pt>
                <c:pt idx="976">
                  <c:v>47.405200000000512</c:v>
                </c:pt>
                <c:pt idx="977">
                  <c:v>47.405300000000516</c:v>
                </c:pt>
                <c:pt idx="978">
                  <c:v>47.405400000000519</c:v>
                </c:pt>
                <c:pt idx="979">
                  <c:v>47.405500000000522</c:v>
                </c:pt>
                <c:pt idx="980">
                  <c:v>47.405600000000526</c:v>
                </c:pt>
                <c:pt idx="981">
                  <c:v>47.405700000000529</c:v>
                </c:pt>
                <c:pt idx="982">
                  <c:v>47.405800000000532</c:v>
                </c:pt>
                <c:pt idx="983">
                  <c:v>47.405900000000535</c:v>
                </c:pt>
                <c:pt idx="984">
                  <c:v>47.406000000000539</c:v>
                </c:pt>
                <c:pt idx="985">
                  <c:v>47.406100000000542</c:v>
                </c:pt>
                <c:pt idx="986">
                  <c:v>47.406200000000545</c:v>
                </c:pt>
                <c:pt idx="987">
                  <c:v>47.406300000000549</c:v>
                </c:pt>
                <c:pt idx="988">
                  <c:v>47.406400000000552</c:v>
                </c:pt>
                <c:pt idx="989">
                  <c:v>47.406500000000555</c:v>
                </c:pt>
                <c:pt idx="990">
                  <c:v>47.406600000000559</c:v>
                </c:pt>
                <c:pt idx="991">
                  <c:v>47.406700000000562</c:v>
                </c:pt>
                <c:pt idx="992">
                  <c:v>47.406800000000565</c:v>
                </c:pt>
                <c:pt idx="993">
                  <c:v>47.406900000000569</c:v>
                </c:pt>
                <c:pt idx="994">
                  <c:v>47.407000000000572</c:v>
                </c:pt>
                <c:pt idx="995">
                  <c:v>47.407100000000575</c:v>
                </c:pt>
                <c:pt idx="996">
                  <c:v>47.407200000000579</c:v>
                </c:pt>
                <c:pt idx="997">
                  <c:v>47.407300000000582</c:v>
                </c:pt>
                <c:pt idx="998">
                  <c:v>47.407400000000585</c:v>
                </c:pt>
                <c:pt idx="999">
                  <c:v>47.407500000000589</c:v>
                </c:pt>
                <c:pt idx="1000">
                  <c:v>47.407600000000592</c:v>
                </c:pt>
              </c:numCache>
            </c:numRef>
          </c:xVal>
          <c:yVal>
            <c:numRef>
              <c:f>Calculs!$AG$4:$AG$1004</c:f>
              <c:numCache>
                <c:formatCode>0.00</c:formatCode>
                <c:ptCount val="1001"/>
                <c:pt idx="0">
                  <c:v>0</c:v>
                </c:pt>
                <c:pt idx="1">
                  <c:v>7.5014097068241821</c:v>
                </c:pt>
                <c:pt idx="2">
                  <c:v>26.436017349114117</c:v>
                </c:pt>
                <c:pt idx="3">
                  <c:v>34.29507972279324</c:v>
                </c:pt>
                <c:pt idx="4">
                  <c:v>42.159588440665303</c:v>
                </c:pt>
                <c:pt idx="5">
                  <c:v>50.030439948930088</c:v>
                </c:pt>
                <c:pt idx="6">
                  <c:v>57.908524841663414</c:v>
                </c:pt>
                <c:pt idx="7">
                  <c:v>65.794728172317974</c:v>
                </c:pt>
                <c:pt idx="8">
                  <c:v>73.689929758015083</c:v>
                </c:pt>
                <c:pt idx="9">
                  <c:v>81.595004476911811</c:v>
                </c:pt>
                <c:pt idx="10">
                  <c:v>89.510822558917482</c:v>
                </c:pt>
                <c:pt idx="11">
                  <c:v>92.916225096404062</c:v>
                </c:pt>
                <c:pt idx="12">
                  <c:v>91.802159508472826</c:v>
                </c:pt>
                <c:pt idx="13">
                  <c:v>90.65159061344076</c:v>
                </c:pt>
                <c:pt idx="14">
                  <c:v>89.464482114594105</c:v>
                </c:pt>
                <c:pt idx="15">
                  <c:v>88.275266590789897</c:v>
                </c:pt>
                <c:pt idx="16">
                  <c:v>87.083977455054594</c:v>
                </c:pt>
                <c:pt idx="17">
                  <c:v>85.890648104733032</c:v>
                </c:pt>
                <c:pt idx="18">
                  <c:v>84.695311917455172</c:v>
                </c:pt>
                <c:pt idx="19">
                  <c:v>83.498002247123679</c:v>
                </c:pt>
                <c:pt idx="20">
                  <c:v>82.298752419923574</c:v>
                </c:pt>
                <c:pt idx="21">
                  <c:v>81.097595730354797</c:v>
                </c:pt>
                <c:pt idx="22">
                  <c:v>79.894565437287611</c:v>
                </c:pt>
                <c:pt idx="23">
                  <c:v>78.689694760043011</c:v>
                </c:pt>
                <c:pt idx="24">
                  <c:v>77.483016874497167</c:v>
                </c:pt>
                <c:pt idx="25">
                  <c:v>76.27456490921206</c:v>
                </c:pt>
                <c:pt idx="26">
                  <c:v>75.0643719415921</c:v>
                </c:pt>
                <c:pt idx="27">
                  <c:v>74.459831371875197</c:v>
                </c:pt>
                <c:pt idx="28">
                  <c:v>74.46193057867967</c:v>
                </c:pt>
                <c:pt idx="29">
                  <c:v>74.463769481199705</c:v>
                </c:pt>
                <c:pt idx="30">
                  <c:v>74.465347782037526</c:v>
                </c:pt>
                <c:pt idx="31">
                  <c:v>74.46666518814736</c:v>
                </c:pt>
                <c:pt idx="32">
                  <c:v>74.467721410848952</c:v>
                </c:pt>
                <c:pt idx="33">
                  <c:v>74.468516165841265</c:v>
                </c:pt>
                <c:pt idx="34">
                  <c:v>74.469049173215879</c:v>
                </c:pt>
                <c:pt idx="35">
                  <c:v>74.469320157470321</c:v>
                </c:pt>
                <c:pt idx="36">
                  <c:v>74.469328847521012</c:v>
                </c:pt>
                <c:pt idx="37">
                  <c:v>74.470169039904277</c:v>
                </c:pt>
                <c:pt idx="38">
                  <c:v>74.47073944701593</c:v>
                </c:pt>
                <c:pt idx="39">
                  <c:v>74.471024920529601</c:v>
                </c:pt>
                <c:pt idx="40">
                  <c:v>74.47102618946154</c:v>
                </c:pt>
                <c:pt idx="41">
                  <c:v>74.470743918159414</c:v>
                </c:pt>
                <c:pt idx="42">
                  <c:v>74.470178712760344</c:v>
                </c:pt>
                <c:pt idx="43">
                  <c:v>74.469331126906511</c:v>
                </c:pt>
                <c:pt idx="44">
                  <c:v>74.46820166681843</c:v>
                </c:pt>
                <c:pt idx="45">
                  <c:v>74.466790795812628</c:v>
                </c:pt>
                <c:pt idx="46">
                  <c:v>74.465098938334805</c:v>
                </c:pt>
                <c:pt idx="47">
                  <c:v>74.463126483570619</c:v>
                </c:pt>
                <c:pt idx="48">
                  <c:v>74.460873788686683</c:v>
                </c:pt>
                <c:pt idx="49">
                  <c:v>74.45834118174642</c:v>
                </c:pt>
                <c:pt idx="50">
                  <c:v>74.45552896433972</c:v>
                </c:pt>
                <c:pt idx="51">
                  <c:v>74.452437413959956</c:v>
                </c:pt>
                <c:pt idx="52">
                  <c:v>74.449066786156877</c:v>
                </c:pt>
                <c:pt idx="53">
                  <c:v>74.445417316490889</c:v>
                </c:pt>
                <c:pt idx="54">
                  <c:v>74.441489222310423</c:v>
                </c:pt>
                <c:pt idx="55">
                  <c:v>74.437282704371299</c:v>
                </c:pt>
                <c:pt idx="56">
                  <c:v>74.432797948315212</c:v>
                </c:pt>
                <c:pt idx="57">
                  <c:v>74.428035126021499</c:v>
                </c:pt>
                <c:pt idx="58">
                  <c:v>74.422994396845809</c:v>
                </c:pt>
                <c:pt idx="59">
                  <c:v>74.417675908756109</c:v>
                </c:pt>
                <c:pt idx="60">
                  <c:v>74.412079799376983</c:v>
                </c:pt>
                <c:pt idx="61">
                  <c:v>74.406206196950606</c:v>
                </c:pt>
                <c:pt idx="62">
                  <c:v>74.400055221222587</c:v>
                </c:pt>
                <c:pt idx="63">
                  <c:v>74.393626984259527</c:v>
                </c:pt>
                <c:pt idx="64">
                  <c:v>74.386921591204654</c:v>
                </c:pt>
                <c:pt idx="65">
                  <c:v>74.379939140977342</c:v>
                </c:pt>
                <c:pt idx="66">
                  <c:v>74.372679726921149</c:v>
                </c:pt>
                <c:pt idx="67">
                  <c:v>74.36514343740518</c:v>
                </c:pt>
                <c:pt idx="68">
                  <c:v>74.357330356382718</c:v>
                </c:pt>
                <c:pt idx="69">
                  <c:v>74.349240563910712</c:v>
                </c:pt>
                <c:pt idx="70">
                  <c:v>74.340874136633659</c:v>
                </c:pt>
                <c:pt idx="71">
                  <c:v>74.332231148234257</c:v>
                </c:pt>
                <c:pt idx="72">
                  <c:v>74.316372233797992</c:v>
                </c:pt>
                <c:pt idx="73">
                  <c:v>74.293287418644383</c:v>
                </c:pt>
                <c:pt idx="74">
                  <c:v>74.269912133167949</c:v>
                </c:pt>
                <c:pt idx="75">
                  <c:v>74.246246583046698</c:v>
                </c:pt>
                <c:pt idx="76">
                  <c:v>74.222290973142492</c:v>
                </c:pt>
                <c:pt idx="77">
                  <c:v>74.198045507804849</c:v>
                </c:pt>
                <c:pt idx="78">
                  <c:v>74.173510391155659</c:v>
                </c:pt>
                <c:pt idx="79">
                  <c:v>74.148685827356232</c:v>
                </c:pt>
                <c:pt idx="80">
                  <c:v>74.123572020857594</c:v>
                </c:pt>
                <c:pt idx="81">
                  <c:v>74.098169176635693</c:v>
                </c:pt>
                <c:pt idx="82">
                  <c:v>74.07247750041239</c:v>
                </c:pt>
                <c:pt idx="83">
                  <c:v>74.046497198863136</c:v>
                </c:pt>
                <c:pt idx="84">
                  <c:v>74.02022847981236</c:v>
                </c:pt>
                <c:pt idx="85">
                  <c:v>73.993671552417538</c:v>
                </c:pt>
                <c:pt idx="86">
                  <c:v>73.966826627342371</c:v>
                </c:pt>
                <c:pt idx="87">
                  <c:v>73.939693916920163</c:v>
                </c:pt>
                <c:pt idx="88">
                  <c:v>73.912273635307827</c:v>
                </c:pt>
                <c:pt idx="89">
                  <c:v>73.884565998631075</c:v>
                </c:pt>
                <c:pt idx="90">
                  <c:v>73.856571225121584</c:v>
                </c:pt>
                <c:pt idx="91">
                  <c:v>73.828289535246483</c:v>
                </c:pt>
                <c:pt idx="92">
                  <c:v>73.79972115183061</c:v>
                </c:pt>
                <c:pt idx="93">
                  <c:v>73.770866300172059</c:v>
                </c:pt>
                <c:pt idx="94">
                  <c:v>73.74172520815155</c:v>
                </c:pt>
                <c:pt idx="95">
                  <c:v>73.712298106335652</c:v>
                </c:pt>
                <c:pt idx="96">
                  <c:v>73.682585228074515</c:v>
                </c:pt>
                <c:pt idx="97">
                  <c:v>73.652586809594354</c:v>
                </c:pt>
                <c:pt idx="98">
                  <c:v>73.622303090084941</c:v>
                </c:pt>
                <c:pt idx="99">
                  <c:v>73.591734311782488</c:v>
                </c:pt>
                <c:pt idx="100">
                  <c:v>73.56088072004799</c:v>
                </c:pt>
                <c:pt idx="101">
                  <c:v>73.52974256344153</c:v>
                </c:pt>
                <c:pt idx="102">
                  <c:v>73.498320093792557</c:v>
                </c:pt>
                <c:pt idx="103">
                  <c:v>73.466613566266474</c:v>
                </c:pt>
                <c:pt idx="104">
                  <c:v>73.434623239427765</c:v>
                </c:pt>
                <c:pt idx="105">
                  <c:v>73.402349375299579</c:v>
                </c:pt>
                <c:pt idx="106">
                  <c:v>73.369792239420377</c:v>
                </c:pt>
                <c:pt idx="107">
                  <c:v>73.336952100897463</c:v>
                </c:pt>
                <c:pt idx="108">
                  <c:v>73.30382923245763</c:v>
                </c:pt>
                <c:pt idx="109">
                  <c:v>73.270423910495225</c:v>
                </c:pt>
                <c:pt idx="110">
                  <c:v>73.236736415117434</c:v>
                </c:pt>
                <c:pt idx="111">
                  <c:v>73.202767030187331</c:v>
                </c:pt>
                <c:pt idx="112">
                  <c:v>73.168516043364434</c:v>
                </c:pt>
                <c:pt idx="113">
                  <c:v>73.13398374614323</c:v>
                </c:pt>
                <c:pt idx="114">
                  <c:v>73.099170433889284</c:v>
                </c:pt>
                <c:pt idx="115">
                  <c:v>73.064076405873607</c:v>
                </c:pt>
                <c:pt idx="116">
                  <c:v>73.028701965304947</c:v>
                </c:pt>
                <c:pt idx="117">
                  <c:v>72.993047419360352</c:v>
                </c:pt>
                <c:pt idx="118">
                  <c:v>72.957113079213826</c:v>
                </c:pt>
                <c:pt idx="119">
                  <c:v>72.920899260063393</c:v>
                </c:pt>
                <c:pt idx="120">
                  <c:v>72.884406281156572</c:v>
                </c:pt>
                <c:pt idx="121">
                  <c:v>72.847634465814266</c:v>
                </c:pt>
                <c:pt idx="122">
                  <c:v>72.810584141453162</c:v>
                </c:pt>
                <c:pt idx="123">
                  <c:v>72.773255639606774</c:v>
                </c:pt>
                <c:pt idx="124">
                  <c:v>72.735649295945038</c:v>
                </c:pt>
                <c:pt idx="125">
                  <c:v>72.697765450292749</c:v>
                </c:pt>
                <c:pt idx="126">
                  <c:v>72.659604446646597</c:v>
                </c:pt>
                <c:pt idx="127">
                  <c:v>72.621166633191024</c:v>
                </c:pt>
                <c:pt idx="128">
                  <c:v>72.582452362313091</c:v>
                </c:pt>
                <c:pt idx="129">
                  <c:v>72.511469432055009</c:v>
                </c:pt>
                <c:pt idx="130">
                  <c:v>72.408178869874689</c:v>
                </c:pt>
                <c:pt idx="131">
                  <c:v>72.30456172058328</c:v>
                </c:pt>
                <c:pt idx="132">
                  <c:v>72.200619099465001</c:v>
                </c:pt>
                <c:pt idx="133">
                  <c:v>72.096352126499625</c:v>
                </c:pt>
                <c:pt idx="134">
                  <c:v>71.991761926342434</c:v>
                </c:pt>
                <c:pt idx="135">
                  <c:v>71.88684962830277</c:v>
                </c:pt>
                <c:pt idx="136">
                  <c:v>71.781616366321771</c:v>
                </c:pt>
                <c:pt idx="137">
                  <c:v>71.676063278949101</c:v>
                </c:pt>
                <c:pt idx="138">
                  <c:v>71.570191509318491</c:v>
                </c:pt>
                <c:pt idx="139">
                  <c:v>71.464002205122753</c:v>
                </c:pt>
                <c:pt idx="140">
                  <c:v>71.357496518587524</c:v>
                </c:pt>
                <c:pt idx="141">
                  <c:v>71.250675606444474</c:v>
                </c:pt>
                <c:pt idx="142">
                  <c:v>71.143540629903427</c:v>
                </c:pt>
                <c:pt idx="143">
                  <c:v>71.036092754623937</c:v>
                </c:pt>
                <c:pt idx="144">
                  <c:v>70.928333150685916</c:v>
                </c:pt>
                <c:pt idx="145">
                  <c:v>70.820262992559734</c:v>
                </c:pt>
                <c:pt idx="146">
                  <c:v>70.711883459075352</c:v>
                </c:pt>
                <c:pt idx="147">
                  <c:v>70.603195733391033</c:v>
                </c:pt>
                <c:pt idx="148">
                  <c:v>70.494201002961248</c:v>
                </c:pt>
                <c:pt idx="149">
                  <c:v>70.384900459504067</c:v>
                </c:pt>
                <c:pt idx="150">
                  <c:v>70.275295298967819</c:v>
                </c:pt>
                <c:pt idx="151">
                  <c:v>70.165386721497242</c:v>
                </c:pt>
                <c:pt idx="152">
                  <c:v>70.055175931399106</c:v>
                </c:pt>
                <c:pt idx="153">
                  <c:v>69.94466413710721</c:v>
                </c:pt>
                <c:pt idx="154">
                  <c:v>69.833852551146876</c:v>
                </c:pt>
                <c:pt idx="155">
                  <c:v>69.722742390099043</c:v>
                </c:pt>
                <c:pt idx="156">
                  <c:v>69.611334874563738</c:v>
                </c:pt>
                <c:pt idx="157">
                  <c:v>69.499631229123111</c:v>
                </c:pt>
                <c:pt idx="158">
                  <c:v>69.387632682304101</c:v>
                </c:pt>
                <c:pt idx="159">
                  <c:v>69.275340466540513</c:v>
                </c:pt>
                <c:pt idx="160">
                  <c:v>69.162755818134855</c:v>
                </c:pt>
                <c:pt idx="161">
                  <c:v>69.049879977219646</c:v>
                </c:pt>
                <c:pt idx="162">
                  <c:v>68.936714187718323</c:v>
                </c:pt>
                <c:pt idx="163">
                  <c:v>68.823259697305886</c:v>
                </c:pt>
                <c:pt idx="164">
                  <c:v>68.709517757369014</c:v>
                </c:pt>
                <c:pt idx="165">
                  <c:v>68.595489622965957</c:v>
                </c:pt>
                <c:pt idx="166">
                  <c:v>68.48117655278611</c:v>
                </c:pt>
                <c:pt idx="167">
                  <c:v>68.366579809109083</c:v>
                </c:pt>
                <c:pt idx="168">
                  <c:v>68.251700657763692</c:v>
                </c:pt>
                <c:pt idx="169">
                  <c:v>68.136540368086386</c:v>
                </c:pt>
                <c:pt idx="170">
                  <c:v>68.021100212879674</c:v>
                </c:pt>
                <c:pt idx="171">
                  <c:v>67.905381468369995</c:v>
                </c:pt>
                <c:pt idx="172">
                  <c:v>67.789385414165508</c:v>
                </c:pt>
                <c:pt idx="173">
                  <c:v>67.673113333213536</c:v>
                </c:pt>
                <c:pt idx="174">
                  <c:v>67.556566511757723</c:v>
                </c:pt>
                <c:pt idx="175">
                  <c:v>67.43974623929509</c:v>
                </c:pt>
                <c:pt idx="176">
                  <c:v>67.322653808532692</c:v>
                </c:pt>
                <c:pt idx="177">
                  <c:v>67.205290515344132</c:v>
                </c:pt>
                <c:pt idx="178">
                  <c:v>67.087657658725931</c:v>
                </c:pt>
                <c:pt idx="179">
                  <c:v>66.969756540753508</c:v>
                </c:pt>
                <c:pt idx="180">
                  <c:v>66.851588466537123</c:v>
                </c:pt>
                <c:pt idx="181">
                  <c:v>66.733154744177583</c:v>
                </c:pt>
                <c:pt idx="182">
                  <c:v>66.614456684721745</c:v>
                </c:pt>
                <c:pt idx="183">
                  <c:v>66.49549560211787</c:v>
                </c:pt>
                <c:pt idx="184">
                  <c:v>66.376272813170786</c:v>
                </c:pt>
                <c:pt idx="185">
                  <c:v>66.256789637496908</c:v>
                </c:pt>
                <c:pt idx="186">
                  <c:v>66.137047397479137</c:v>
                </c:pt>
                <c:pt idx="187">
                  <c:v>66.017047418221551</c:v>
                </c:pt>
                <c:pt idx="188">
                  <c:v>65.89679102750398</c:v>
                </c:pt>
                <c:pt idx="189">
                  <c:v>65.77627955573648</c:v>
                </c:pt>
                <c:pt idx="190">
                  <c:v>65.655514335913679</c:v>
                </c:pt>
                <c:pt idx="191">
                  <c:v>65.534496703568934</c:v>
                </c:pt>
                <c:pt idx="192">
                  <c:v>65.413227996728523</c:v>
                </c:pt>
                <c:pt idx="193">
                  <c:v>65.291709555865594</c:v>
                </c:pt>
                <c:pt idx="194">
                  <c:v>65.169942723853978</c:v>
                </c:pt>
                <c:pt idx="195">
                  <c:v>65.047928845922172</c:v>
                </c:pt>
                <c:pt idx="196">
                  <c:v>64.925669269606914</c:v>
                </c:pt>
                <c:pt idx="197">
                  <c:v>64.803165344706898</c:v>
                </c:pt>
                <c:pt idx="198">
                  <c:v>64.68041842323629</c:v>
                </c:pt>
                <c:pt idx="199">
                  <c:v>64.557429859378217</c:v>
                </c:pt>
                <c:pt idx="200">
                  <c:v>64.43420100943834</c:v>
                </c:pt>
                <c:pt idx="201">
                  <c:v>64.310733231797968</c:v>
                </c:pt>
                <c:pt idx="202">
                  <c:v>64.187027886867568</c:v>
                </c:pt>
                <c:pt idx="203">
                  <c:v>64.063086337040005</c:v>
                </c:pt>
                <c:pt idx="204">
                  <c:v>63.938909946643733</c:v>
                </c:pt>
                <c:pt idx="205">
                  <c:v>63.81450008189595</c:v>
                </c:pt>
                <c:pt idx="206">
                  <c:v>63.682056175741984</c:v>
                </c:pt>
                <c:pt idx="207">
                  <c:v>63.541573089443148</c:v>
                </c:pt>
                <c:pt idx="208">
                  <c:v>63.4008538664499</c:v>
                </c:pt>
                <c:pt idx="209">
                  <c:v>63.259900073059946</c:v>
                </c:pt>
                <c:pt idx="210">
                  <c:v>63.118713276842989</c:v>
                </c:pt>
                <c:pt idx="211">
                  <c:v>62.97729504658583</c:v>
                </c:pt>
                <c:pt idx="212">
                  <c:v>62.835646952237383</c:v>
                </c:pt>
                <c:pt idx="213">
                  <c:v>62.693770564853892</c:v>
                </c:pt>
                <c:pt idx="214">
                  <c:v>62.551667456544187</c:v>
                </c:pt>
                <c:pt idx="215">
                  <c:v>62.409339200414806</c:v>
                </c:pt>
                <c:pt idx="216">
                  <c:v>62.266787370515345</c:v>
                </c:pt>
                <c:pt idx="217">
                  <c:v>62.124013541783995</c:v>
                </c:pt>
                <c:pt idx="218">
                  <c:v>61.981019289992716</c:v>
                </c:pt>
                <c:pt idx="219">
                  <c:v>61.837806191692991</c:v>
                </c:pt>
                <c:pt idx="220">
                  <c:v>61.694375824161298</c:v>
                </c:pt>
                <c:pt idx="221">
                  <c:v>61.55072976534484</c:v>
                </c:pt>
                <c:pt idx="222">
                  <c:v>61.406869593807301</c:v>
                </c:pt>
                <c:pt idx="223">
                  <c:v>61.262796888674693</c:v>
                </c:pt>
                <c:pt idx="224">
                  <c:v>61.118513229581353</c:v>
                </c:pt>
                <c:pt idx="225">
                  <c:v>60.974020196615918</c:v>
                </c:pt>
                <c:pt idx="226">
                  <c:v>60.829319370267541</c:v>
                </c:pt>
                <c:pt idx="227">
                  <c:v>60.684412331372229</c:v>
                </c:pt>
                <c:pt idx="228">
                  <c:v>60.539300661059087</c:v>
                </c:pt>
                <c:pt idx="229">
                  <c:v>60.393985940696886</c:v>
                </c:pt>
                <c:pt idx="230">
                  <c:v>60.248469751840659</c:v>
                </c:pt>
                <c:pt idx="231">
                  <c:v>60.102753676178537</c:v>
                </c:pt>
                <c:pt idx="232">
                  <c:v>59.95683929547846</c:v>
                </c:pt>
                <c:pt idx="233">
                  <c:v>59.810728191535304</c:v>
                </c:pt>
                <c:pt idx="234">
                  <c:v>59.664421946117976</c:v>
                </c:pt>
                <c:pt idx="235">
                  <c:v>59.517922140916752</c:v>
                </c:pt>
                <c:pt idx="236">
                  <c:v>59.371230357490589</c:v>
                </c:pt>
                <c:pt idx="237">
                  <c:v>59.224348177214836</c:v>
                </c:pt>
                <c:pt idx="238">
                  <c:v>59.077277181228773</c:v>
                </c:pt>
                <c:pt idx="239">
                  <c:v>58.93001895038374</c:v>
                </c:pt>
                <c:pt idx="240">
                  <c:v>58.78257506519094</c:v>
                </c:pt>
                <c:pt idx="241">
                  <c:v>58.634947105769761</c:v>
                </c:pt>
                <c:pt idx="242">
                  <c:v>58.46015309518296</c:v>
                </c:pt>
                <c:pt idx="243">
                  <c:v>58.258177292621269</c:v>
                </c:pt>
                <c:pt idx="244">
                  <c:v>58.056008170751994</c:v>
                </c:pt>
                <c:pt idx="245">
                  <c:v>57.853648001292839</c:v>
                </c:pt>
                <c:pt idx="246">
                  <c:v>57.651099052967709</c:v>
                </c:pt>
                <c:pt idx="247">
                  <c:v>57.448363591429057</c:v>
                </c:pt>
                <c:pt idx="248">
                  <c:v>57.245443879180257</c:v>
                </c:pt>
                <c:pt idx="249">
                  <c:v>57.042342175498682</c:v>
                </c:pt>
                <c:pt idx="250">
                  <c:v>56.839060736359123</c:v>
                </c:pt>
                <c:pt idx="251">
                  <c:v>56.635601814357742</c:v>
                </c:pt>
                <c:pt idx="252">
                  <c:v>56.431967658636452</c:v>
                </c:pt>
                <c:pt idx="253">
                  <c:v>56.228160514807811</c:v>
                </c:pt>
                <c:pt idx="254">
                  <c:v>56.024182624880247</c:v>
                </c:pt>
                <c:pt idx="255">
                  <c:v>55.820036227184026</c:v>
                </c:pt>
                <c:pt idx="256">
                  <c:v>55.615723556297404</c:v>
                </c:pt>
                <c:pt idx="257">
                  <c:v>55.411246842973576</c:v>
                </c:pt>
                <c:pt idx="258">
                  <c:v>55.206608314067793</c:v>
                </c:pt>
                <c:pt idx="259">
                  <c:v>55.00181019246525</c:v>
                </c:pt>
                <c:pt idx="260">
                  <c:v>54.796854697009266</c:v>
                </c:pt>
                <c:pt idx="261">
                  <c:v>54.591744042430186</c:v>
                </c:pt>
                <c:pt idx="262">
                  <c:v>54.386480439274521</c:v>
                </c:pt>
                <c:pt idx="263">
                  <c:v>54.181066093834765</c:v>
                </c:pt>
                <c:pt idx="264">
                  <c:v>53.975503208079772</c:v>
                </c:pt>
                <c:pt idx="265">
                  <c:v>53.769793979585458</c:v>
                </c:pt>
                <c:pt idx="266">
                  <c:v>53.5639406014662</c:v>
                </c:pt>
                <c:pt idx="267">
                  <c:v>53.357945262306636</c:v>
                </c:pt>
                <c:pt idx="268">
                  <c:v>53.151810146094093</c:v>
                </c:pt>
                <c:pt idx="269">
                  <c:v>52.94553743215139</c:v>
                </c:pt>
                <c:pt idx="270">
                  <c:v>52.739129295070384</c:v>
                </c:pt>
                <c:pt idx="271">
                  <c:v>52.532587904645801</c:v>
                </c:pt>
                <c:pt idx="272">
                  <c:v>52.325915425809789</c:v>
                </c:pt>
                <c:pt idx="273">
                  <c:v>52.119114018566933</c:v>
                </c:pt>
                <c:pt idx="274">
                  <c:v>51.912185837929826</c:v>
                </c:pt>
                <c:pt idx="275">
                  <c:v>51.705133033855169</c:v>
                </c:pt>
                <c:pt idx="276">
                  <c:v>51.497957751180358</c:v>
                </c:pt>
                <c:pt idx="277">
                  <c:v>51.290662129560758</c:v>
                </c:pt>
                <c:pt idx="278">
                  <c:v>51.083248303407387</c:v>
                </c:pt>
                <c:pt idx="279">
                  <c:v>50.875718401825246</c:v>
                </c:pt>
                <c:pt idx="280">
                  <c:v>50.668074548552106</c:v>
                </c:pt>
                <c:pt idx="281">
                  <c:v>50.460318861897917</c:v>
                </c:pt>
                <c:pt idx="282">
                  <c:v>50.252453454684769</c:v>
                </c:pt>
                <c:pt idx="283">
                  <c:v>50.044480434187378</c:v>
                </c:pt>
                <c:pt idx="284">
                  <c:v>49.86809799261701</c:v>
                </c:pt>
                <c:pt idx="285">
                  <c:v>49.723320356727996</c:v>
                </c:pt>
                <c:pt idx="286">
                  <c:v>49.578443532016863</c:v>
                </c:pt>
                <c:pt idx="287">
                  <c:v>49.43346886936704</c:v>
                </c:pt>
                <c:pt idx="288">
                  <c:v>49.288397717215439</c:v>
                </c:pt>
                <c:pt idx="289">
                  <c:v>49.143231421518188</c:v>
                </c:pt>
                <c:pt idx="290">
                  <c:v>48.997971325716669</c:v>
                </c:pt>
                <c:pt idx="291">
                  <c:v>48.852618770703714</c:v>
                </c:pt>
                <c:pt idx="292">
                  <c:v>48.707175094790131</c:v>
                </c:pt>
                <c:pt idx="293">
                  <c:v>48.561641633671357</c:v>
                </c:pt>
                <c:pt idx="294">
                  <c:v>48.416019720394502</c:v>
                </c:pt>
                <c:pt idx="295">
                  <c:v>48.270310685325541</c:v>
                </c:pt>
                <c:pt idx="296">
                  <c:v>48.12451585611673</c:v>
                </c:pt>
                <c:pt idx="297">
                  <c:v>47.978636557674335</c:v>
                </c:pt>
                <c:pt idx="298">
                  <c:v>47.832674112126682</c:v>
                </c:pt>
                <c:pt idx="299">
                  <c:v>47.686629838792186</c:v>
                </c:pt>
                <c:pt idx="300">
                  <c:v>47.540505054147957</c:v>
                </c:pt>
                <c:pt idx="301">
                  <c:v>47.394301071798431</c:v>
                </c:pt>
                <c:pt idx="302">
                  <c:v>47.248019202444333</c:v>
                </c:pt>
                <c:pt idx="303">
                  <c:v>47.101660753851952</c:v>
                </c:pt>
                <c:pt idx="304">
                  <c:v>46.955227030822513</c:v>
                </c:pt>
                <c:pt idx="305">
                  <c:v>46.808719335161925</c:v>
                </c:pt>
                <c:pt idx="306">
                  <c:v>46.662138965650797</c:v>
                </c:pt>
                <c:pt idx="307">
                  <c:v>46.515487218014627</c:v>
                </c:pt>
                <c:pt idx="308">
                  <c:v>46.368765384894239</c:v>
                </c:pt>
                <c:pt idx="309">
                  <c:v>46.221974755816646</c:v>
                </c:pt>
                <c:pt idx="310">
                  <c:v>46.075116617165918</c:v>
                </c:pt>
                <c:pt idx="311">
                  <c:v>45.928192252154503</c:v>
                </c:pt>
                <c:pt idx="312">
                  <c:v>45.781202940794728</c:v>
                </c:pt>
                <c:pt idx="313">
                  <c:v>45.634149959870548</c:v>
                </c:pt>
                <c:pt idx="314">
                  <c:v>45.487034582909629</c:v>
                </c:pt>
                <c:pt idx="315">
                  <c:v>45.339858080155537</c:v>
                </c:pt>
                <c:pt idx="316">
                  <c:v>45.192621718540401</c:v>
                </c:pt>
                <c:pt idx="317">
                  <c:v>45.045326761657648</c:v>
                </c:pt>
                <c:pt idx="318">
                  <c:v>44.897974469735104</c:v>
                </c:pt>
                <c:pt idx="319">
                  <c:v>44.750566099608271</c:v>
                </c:pt>
                <c:pt idx="320">
                  <c:v>44.603102904694019</c:v>
                </c:pt>
                <c:pt idx="321">
                  <c:v>44.455586134964321</c:v>
                </c:pt>
                <c:pt idx="322">
                  <c:v>44.308017036920461</c:v>
                </c:pt>
                <c:pt idx="323">
                  <c:v>44.160396853567363</c:v>
                </c:pt>
                <c:pt idx="324">
                  <c:v>44.012726824388245</c:v>
                </c:pt>
                <c:pt idx="325">
                  <c:v>43.865008185319539</c:v>
                </c:pt>
                <c:pt idx="326">
                  <c:v>43.719190041172794</c:v>
                </c:pt>
                <c:pt idx="327">
                  <c:v>43.575273989030904</c:v>
                </c:pt>
                <c:pt idx="328">
                  <c:v>43.431312475184498</c:v>
                </c:pt>
                <c:pt idx="329">
                  <c:v>43.287306683617089</c:v>
                </c:pt>
                <c:pt idx="330">
                  <c:v>43.143257794840366</c:v>
                </c:pt>
                <c:pt idx="331">
                  <c:v>42.999166985871184</c:v>
                </c:pt>
                <c:pt idx="332">
                  <c:v>42.855035430209213</c:v>
                </c:pt>
                <c:pt idx="333">
                  <c:v>42.710864297814709</c:v>
                </c:pt>
                <c:pt idx="334">
                  <c:v>42.56665475508639</c:v>
                </c:pt>
                <c:pt idx="335">
                  <c:v>42.422407964839735</c:v>
                </c:pt>
                <c:pt idx="336">
                  <c:v>42.278125086285527</c:v>
                </c:pt>
                <c:pt idx="337">
                  <c:v>42.133807275008479</c:v>
                </c:pt>
                <c:pt idx="338">
                  <c:v>41.989455682946321</c:v>
                </c:pt>
                <c:pt idx="339">
                  <c:v>41.845071458368928</c:v>
                </c:pt>
                <c:pt idx="340">
                  <c:v>41.700655745857937</c:v>
                </c:pt>
                <c:pt idx="341">
                  <c:v>41.556209686286351</c:v>
                </c:pt>
                <c:pt idx="342">
                  <c:v>41.411734416798623</c:v>
                </c:pt>
                <c:pt idx="343">
                  <c:v>41.267231070790807</c:v>
                </c:pt>
                <c:pt idx="344">
                  <c:v>41.122700777891055</c:v>
                </c:pt>
                <c:pt idx="345">
                  <c:v>40.978144663940384</c:v>
                </c:pt>
                <c:pt idx="346">
                  <c:v>40.833563850973569</c:v>
                </c:pt>
                <c:pt idx="347">
                  <c:v>40.688959457200447</c:v>
                </c:pt>
                <c:pt idx="348">
                  <c:v>40.544332596987317</c:v>
                </c:pt>
                <c:pt idx="349">
                  <c:v>40.399684380838679</c:v>
                </c:pt>
                <c:pt idx="350">
                  <c:v>40.255015915379232</c:v>
                </c:pt>
                <c:pt idx="351">
                  <c:v>40.11032830333599</c:v>
                </c:pt>
                <c:pt idx="352">
                  <c:v>39.965622643520817</c:v>
                </c:pt>
                <c:pt idx="353">
                  <c:v>39.820900030813128</c:v>
                </c:pt>
                <c:pt idx="354">
                  <c:v>39.676161556142745</c:v>
                </c:pt>
                <c:pt idx="355">
                  <c:v>39.531408306473224</c:v>
                </c:pt>
                <c:pt idx="356">
                  <c:v>39.386641364785156</c:v>
                </c:pt>
                <c:pt idx="357">
                  <c:v>39.241861810059902</c:v>
                </c:pt>
                <c:pt idx="358">
                  <c:v>39.097070717263584</c:v>
                </c:pt>
                <c:pt idx="359">
                  <c:v>38.952269157331123</c:v>
                </c:pt>
                <c:pt idx="360">
                  <c:v>38.807458197150751</c:v>
                </c:pt>
                <c:pt idx="361">
                  <c:v>38.662638899548647</c:v>
                </c:pt>
                <c:pt idx="362">
                  <c:v>38.517812323273787</c:v>
                </c:pt>
                <c:pt idx="363">
                  <c:v>38.372979522983137</c:v>
                </c:pt>
                <c:pt idx="364">
                  <c:v>38.228141549227011</c:v>
                </c:pt>
                <c:pt idx="365">
                  <c:v>38.083299448434694</c:v>
                </c:pt>
                <c:pt idx="366">
                  <c:v>37.987847665359489</c:v>
                </c:pt>
                <c:pt idx="367">
                  <c:v>37.941788137568139</c:v>
                </c:pt>
                <c:pt idx="368">
                  <c:v>37.895699152879359</c:v>
                </c:pt>
                <c:pt idx="369">
                  <c:v>37.8495810360088</c:v>
                </c:pt>
                <c:pt idx="370">
                  <c:v>37.80343411127587</c:v>
                </c:pt>
                <c:pt idx="371">
                  <c:v>37.757258702599152</c:v>
                </c:pt>
                <c:pt idx="372">
                  <c:v>37.71105513349174</c:v>
                </c:pt>
                <c:pt idx="373">
                  <c:v>37.664823727056699</c:v>
                </c:pt>
                <c:pt idx="374">
                  <c:v>37.618564805982516</c:v>
                </c:pt>
                <c:pt idx="375">
                  <c:v>37.572278692538546</c:v>
                </c:pt>
                <c:pt idx="376">
                  <c:v>37.525965708570595</c:v>
                </c:pt>
                <c:pt idx="377">
                  <c:v>37.479626175496293</c:v>
                </c:pt>
                <c:pt idx="378">
                  <c:v>37.433260414300761</c:v>
                </c:pt>
                <c:pt idx="379">
                  <c:v>37.386868745532141</c:v>
                </c:pt>
                <c:pt idx="380">
                  <c:v>37.340451489297195</c:v>
                </c:pt>
                <c:pt idx="381">
                  <c:v>37.240693477392341</c:v>
                </c:pt>
                <c:pt idx="382">
                  <c:v>37.087595839329467</c:v>
                </c:pt>
                <c:pt idx="383">
                  <c:v>36.934507809378744</c:v>
                </c:pt>
                <c:pt idx="384">
                  <c:v>36.781430463191349</c:v>
                </c:pt>
                <c:pt idx="385">
                  <c:v>36.628364871644621</c:v>
                </c:pt>
                <c:pt idx="386">
                  <c:v>36.475312100830081</c:v>
                </c:pt>
                <c:pt idx="387">
                  <c:v>36.322273212041665</c:v>
                </c:pt>
                <c:pt idx="388">
                  <c:v>36.169249261764207</c:v>
                </c:pt>
                <c:pt idx="389">
                  <c:v>36.016241301662347</c:v>
                </c:pt>
                <c:pt idx="390">
                  <c:v>35.863250378569454</c:v>
                </c:pt>
                <c:pt idx="391">
                  <c:v>35.710277534477001</c:v>
                </c:pt>
                <c:pt idx="392">
                  <c:v>35.557323806524082</c:v>
                </c:pt>
                <c:pt idx="393">
                  <c:v>35.404390226987331</c:v>
                </c:pt>
                <c:pt idx="394">
                  <c:v>35.251477823270932</c:v>
                </c:pt>
                <c:pt idx="395">
                  <c:v>35.098587617896946</c:v>
                </c:pt>
                <c:pt idx="396">
                  <c:v>34.945720628496041</c:v>
                </c:pt>
                <c:pt idx="397">
                  <c:v>34.792877867798175</c:v>
                </c:pt>
                <c:pt idx="398">
                  <c:v>34.640060343623823</c:v>
                </c:pt>
                <c:pt idx="399">
                  <c:v>34.487269058875306</c:v>
                </c:pt>
                <c:pt idx="400">
                  <c:v>34.334505011528407</c:v>
                </c:pt>
                <c:pt idx="401">
                  <c:v>34.139918592519962</c:v>
                </c:pt>
                <c:pt idx="402">
                  <c:v>33.903515172420221</c:v>
                </c:pt>
                <c:pt idx="403">
                  <c:v>33.667175445446318</c:v>
                </c:pt>
                <c:pt idx="404">
                  <c:v>33.430901174174764</c:v>
                </c:pt>
                <c:pt idx="405">
                  <c:v>33.194694110207223</c:v>
                </c:pt>
                <c:pt idx="406">
                  <c:v>32.958555994158672</c:v>
                </c:pt>
                <c:pt idx="407">
                  <c:v>32.722488555646301</c:v>
                </c:pt>
                <c:pt idx="408">
                  <c:v>32.486493513278973</c:v>
                </c:pt>
                <c:pt idx="409">
                  <c:v>32.250572574647379</c:v>
                </c:pt>
                <c:pt idx="410">
                  <c:v>32.014727436314814</c:v>
                </c:pt>
                <c:pt idx="411">
                  <c:v>31.54797277700979</c:v>
                </c:pt>
                <c:pt idx="412">
                  <c:v>30.850350720863471</c:v>
                </c:pt>
                <c:pt idx="413">
                  <c:v>30.153023442608166</c:v>
                </c:pt>
                <c:pt idx="414">
                  <c:v>29.456000458641491</c:v>
                </c:pt>
                <c:pt idx="415">
                  <c:v>28.759291199434522</c:v>
                </c:pt>
                <c:pt idx="416">
                  <c:v>28.062905009390043</c:v>
                </c:pt>
                <c:pt idx="417">
                  <c:v>27.366851146711113</c:v>
                </c:pt>
                <c:pt idx="418">
                  <c:v>26.671138783279751</c:v>
                </c:pt>
                <c:pt idx="419">
                  <c:v>25.975777004545769</c:v>
                </c:pt>
                <c:pt idx="420">
                  <c:v>25.149509303912541</c:v>
                </c:pt>
                <c:pt idx="421">
                  <c:v>24.192387256946432</c:v>
                </c:pt>
                <c:pt idx="422">
                  <c:v>23.235796395469919</c:v>
                </c:pt>
                <c:pt idx="423">
                  <c:v>22.279752455275066</c:v>
                </c:pt>
                <c:pt idx="424">
                  <c:v>21.324271009628248</c:v>
                </c:pt>
                <c:pt idx="425">
                  <c:v>20.369367469011532</c:v>
                </c:pt>
                <c:pt idx="426">
                  <c:v>19.415057080887564</c:v>
                </c:pt>
                <c:pt idx="427">
                  <c:v>18.461354929487744</c:v>
                </c:pt>
                <c:pt idx="428">
                  <c:v>17.508275935623267</c:v>
                </c:pt>
                <c:pt idx="429">
                  <c:v>16.555834856519219</c:v>
                </c:pt>
                <c:pt idx="430">
                  <c:v>15.604046285670988</c:v>
                </c:pt>
                <c:pt idx="431">
                  <c:v>14.65292465272317</c:v>
                </c:pt>
                <c:pt idx="432">
                  <c:v>13.49121771020317</c:v>
                </c:pt>
                <c:pt idx="433">
                  <c:v>12.119061320867093</c:v>
                </c:pt>
                <c:pt idx="434">
                  <c:v>10.747945248018983</c:v>
                </c:pt>
                <c:pt idx="435">
                  <c:v>9.3778979404249263</c:v>
                </c:pt>
                <c:pt idx="436">
                  <c:v>8.008947505153726</c:v>
                </c:pt>
                <c:pt idx="437">
                  <c:v>6.6411217070466186</c:v>
                </c:pt>
                <c:pt idx="438">
                  <c:v>5.2744479682493708</c:v>
                </c:pt>
                <c:pt idx="439">
                  <c:v>3.9089533678058697</c:v>
                </c:pt>
                <c:pt idx="440">
                  <c:v>2.5446646413127425</c:v>
                </c:pt>
                <c:pt idx="441">
                  <c:v>1.181608180634182</c:v>
                </c:pt>
                <c:pt idx="442">
                  <c:v>-5.1984499887836932E-2</c:v>
                </c:pt>
                <c:pt idx="443">
                  <c:v>-1.1561972555460613</c:v>
                </c:pt>
                <c:pt idx="444">
                  <c:v>-2.2593552091649762</c:v>
                </c:pt>
                <c:pt idx="445">
                  <c:v>-3.3614422297043802</c:v>
                </c:pt>
                <c:pt idx="446">
                  <c:v>-4.462442411674564</c:v>
                </c:pt>
                <c:pt idx="447">
                  <c:v>-5.562340074884065</c:v>
                </c:pt>
                <c:pt idx="448">
                  <c:v>-6.66111976415886</c:v>
                </c:pt>
                <c:pt idx="449">
                  <c:v>-7.7587662490336129</c:v>
                </c:pt>
                <c:pt idx="450">
                  <c:v>-8.8552645234152223</c:v>
                </c:pt>
                <c:pt idx="451">
                  <c:v>-9.9505998052192925</c:v>
                </c:pt>
                <c:pt idx="452">
                  <c:v>-11.044757535979771</c:v>
                </c:pt>
                <c:pt idx="453">
                  <c:v>-11.954255283717917</c:v>
                </c:pt>
                <c:pt idx="454">
                  <c:v>-12.67927677522613</c:v>
                </c:pt>
                <c:pt idx="455">
                  <c:v>-13.403500726989872</c:v>
                </c:pt>
                <c:pt idx="456">
                  <c:v>-14.126921968027288</c:v>
                </c:pt>
                <c:pt idx="457">
                  <c:v>-14.849535421916464</c:v>
                </c:pt>
                <c:pt idx="458">
                  <c:v>-15.571336106435961</c:v>
                </c:pt>
                <c:pt idx="459">
                  <c:v>-16.292319133199729</c:v>
                </c:pt>
                <c:pt idx="460">
                  <c:v>-17.012479707286627</c:v>
                </c:pt>
                <c:pt idx="461">
                  <c:v>-17.566756562931111</c:v>
                </c:pt>
                <c:pt idx="462">
                  <c:v>-17.955338684446819</c:v>
                </c:pt>
                <c:pt idx="463">
                  <c:v>-18.343484514112845</c:v>
                </c:pt>
                <c:pt idx="464">
                  <c:v>-18.731193519697229</c:v>
                </c:pt>
                <c:pt idx="465">
                  <c:v>-19.118465193017851</c:v>
                </c:pt>
                <c:pt idx="466">
                  <c:v>-19.643941811000481</c:v>
                </c:pt>
                <c:pt idx="467">
                  <c:v>-20.307455633970982</c:v>
                </c:pt>
                <c:pt idx="468">
                  <c:v>-22.514093006748297</c:v>
                </c:pt>
                <c:pt idx="469">
                  <c:v>-24.372538150687404</c:v>
                </c:pt>
                <c:pt idx="470">
                  <c:v>-24.339329646229615</c:v>
                </c:pt>
                <c:pt idx="471">
                  <c:v>-24.306208330169561</c:v>
                </c:pt>
                <c:pt idx="472">
                  <c:v>-24.273173894618878</c:v>
                </c:pt>
                <c:pt idx="473">
                  <c:v>-24.240226033051719</c:v>
                </c:pt>
                <c:pt idx="474">
                  <c:v>-24.207364440297468</c:v>
                </c:pt>
                <c:pt idx="475">
                  <c:v>-24.174588812533461</c:v>
                </c:pt>
                <c:pt idx="476">
                  <c:v>-24.141898847277758</c:v>
                </c:pt>
                <c:pt idx="477">
                  <c:v>-24.109294243381953</c:v>
                </c:pt>
                <c:pt idx="478">
                  <c:v>-24.076774701024082</c:v>
                </c:pt>
                <c:pt idx="479">
                  <c:v>-24.044339921701454</c:v>
                </c:pt>
                <c:pt idx="480">
                  <c:v>-24.011989608223686</c:v>
                </c:pt>
                <c:pt idx="481">
                  <c:v>-23.97972346470565</c:v>
                </c:pt>
                <c:pt idx="482">
                  <c:v>-23.947541196560525</c:v>
                </c:pt>
                <c:pt idx="483">
                  <c:v>-23.915442510492888</c:v>
                </c:pt>
                <c:pt idx="484">
                  <c:v>-23.88342711449182</c:v>
                </c:pt>
                <c:pt idx="485">
                  <c:v>-23.85149471782411</c:v>
                </c:pt>
                <c:pt idx="486">
                  <c:v>-23.819645031027456</c:v>
                </c:pt>
                <c:pt idx="487">
                  <c:v>-23.787877765903687</c:v>
                </c:pt>
                <c:pt idx="488">
                  <c:v>-23.75619263551209</c:v>
                </c:pt>
                <c:pt idx="489">
                  <c:v>-23.724589354162745</c:v>
                </c:pt>
                <c:pt idx="490">
                  <c:v>-23.693067637409904</c:v>
                </c:pt>
                <c:pt idx="491">
                  <c:v>-23.661627202045395</c:v>
                </c:pt>
                <c:pt idx="492">
                  <c:v>-23.630267766092075</c:v>
                </c:pt>
                <c:pt idx="493">
                  <c:v>-23.598989048797392</c:v>
                </c:pt>
                <c:pt idx="494">
                  <c:v>-23.567790770626836</c:v>
                </c:pt>
                <c:pt idx="495">
                  <c:v>-23.536672653257568</c:v>
                </c:pt>
                <c:pt idx="496">
                  <c:v>-23.505634419572061</c:v>
                </c:pt>
                <c:pt idx="497">
                  <c:v>-23.474675793651706</c:v>
                </c:pt>
                <c:pt idx="498">
                  <c:v>-23.443796500770528</c:v>
                </c:pt>
                <c:pt idx="499">
                  <c:v>-23.412996267388948</c:v>
                </c:pt>
                <c:pt idx="500">
                  <c:v>-23.382274821147533</c:v>
                </c:pt>
                <c:pt idx="501">
                  <c:v>-23.351631890860801</c:v>
                </c:pt>
                <c:pt idx="502">
                  <c:v>-23.047901030329186</c:v>
                </c:pt>
                <c:pt idx="503">
                  <c:v>-22.751827458632519</c:v>
                </c:pt>
                <c:pt idx="504">
                  <c:v>-22.463152958539975</c:v>
                </c:pt>
                <c:pt idx="505">
                  <c:v>-22.181630123378106</c:v>
                </c:pt>
                <c:pt idx="506">
                  <c:v>-21.907021810009567</c:v>
                </c:pt>
                <c:pt idx="507">
                  <c:v>-21.63910062380554</c:v>
                </c:pt>
                <c:pt idx="508">
                  <c:v>-21.377648433474441</c:v>
                </c:pt>
                <c:pt idx="509">
                  <c:v>-21.122455913769031</c:v>
                </c:pt>
                <c:pt idx="510">
                  <c:v>-20.873322114239983</c:v>
                </c:pt>
                <c:pt idx="511">
                  <c:v>-20.630054052338615</c:v>
                </c:pt>
                <c:pt idx="512">
                  <c:v>-20.392466329294379</c:v>
                </c:pt>
                <c:pt idx="513">
                  <c:v>-20.160380767306691</c:v>
                </c:pt>
                <c:pt idx="514">
                  <c:v>-19.933626066694632</c:v>
                </c:pt>
                <c:pt idx="515">
                  <c:v>-19.712037481744339</c:v>
                </c:pt>
                <c:pt idx="516">
                  <c:v>-19.495456514082534</c:v>
                </c:pt>
                <c:pt idx="517">
                  <c:v>-19.283730622486182</c:v>
                </c:pt>
                <c:pt idx="518">
                  <c:v>-19.076712948113581</c:v>
                </c:pt>
                <c:pt idx="519">
                  <c:v>-18.874262054211982</c:v>
                </c:pt>
                <c:pt idx="520">
                  <c:v>-18.676241679420642</c:v>
                </c:pt>
                <c:pt idx="521">
                  <c:v>-18.482520503848171</c:v>
                </c:pt>
                <c:pt idx="522">
                  <c:v>-18.292971927157406</c:v>
                </c:pt>
                <c:pt idx="523">
                  <c:v>-18.107473857942367</c:v>
                </c:pt>
                <c:pt idx="524">
                  <c:v>-17.925908513728437</c:v>
                </c:pt>
                <c:pt idx="525">
                  <c:v>-17.748162230971047</c:v>
                </c:pt>
                <c:pt idx="526">
                  <c:v>-17.574125284468074</c:v>
                </c:pt>
                <c:pt idx="527">
                  <c:v>-17.403691715638967</c:v>
                </c:pt>
                <c:pt idx="528">
                  <c:v>-17.236759169158308</c:v>
                </c:pt>
                <c:pt idx="529">
                  <c:v>-17.073228737463801</c:v>
                </c:pt>
                <c:pt idx="530">
                  <c:v>-16.913004812688655</c:v>
                </c:pt>
                <c:pt idx="531">
                  <c:v>-16.755994945596314</c:v>
                </c:pt>
                <c:pt idx="532">
                  <c:v>-16.602109711121209</c:v>
                </c:pt>
                <c:pt idx="533">
                  <c:v>-16.451262580143542</c:v>
                </c:pt>
                <c:pt idx="534">
                  <c:v>-16.303369797148299</c:v>
                </c:pt>
                <c:pt idx="535">
                  <c:v>-16.158350263439733</c:v>
                </c:pt>
                <c:pt idx="536">
                  <c:v>-16.016125425601885</c:v>
                </c:pt>
                <c:pt idx="537">
                  <c:v>-15.876619168913868</c:v>
                </c:pt>
                <c:pt idx="538">
                  <c:v>-15.739757715445423</c:v>
                </c:pt>
                <c:pt idx="539">
                  <c:v>-15.60546952657403</c:v>
                </c:pt>
                <c:pt idx="540">
                  <c:v>-15.473685209679459</c:v>
                </c:pt>
                <c:pt idx="541">
                  <c:v>-15.344337428785316</c:v>
                </c:pt>
                <c:pt idx="542">
                  <c:v>-15.217360818929786</c:v>
                </c:pt>
                <c:pt idx="543">
                  <c:v>-15.092691904059761</c:v>
                </c:pt>
                <c:pt idx="544">
                  <c:v>-14.970269018253475</c:v>
                </c:pt>
                <c:pt idx="545">
                  <c:v>-14.850032230087129</c:v>
                </c:pt>
                <c:pt idx="546">
                  <c:v>-14.731923269970601</c:v>
                </c:pt>
                <c:pt idx="547">
                  <c:v>-14.615885460286307</c:v>
                </c:pt>
                <c:pt idx="548">
                  <c:v>-14.501863648173547</c:v>
                </c:pt>
                <c:pt idx="549">
                  <c:v>-14.38980414080849</c:v>
                </c:pt>
                <c:pt idx="550">
                  <c:v>-14.279654643037265</c:v>
                </c:pt>
                <c:pt idx="551">
                  <c:v>-14.171364197226154</c:v>
                </c:pt>
                <c:pt idx="552">
                  <c:v>-14.064883125199328</c:v>
                </c:pt>
                <c:pt idx="553">
                  <c:v>-13.96016297214031</c:v>
                </c:pt>
                <c:pt idx="554">
                  <c:v>-13.857156452338627</c:v>
                </c:pt>
                <c:pt idx="555">
                  <c:v>-13.755817396668354</c:v>
                </c:pt>
                <c:pt idx="556">
                  <c:v>-13.656100701689551</c:v>
                </c:pt>
                <c:pt idx="557">
                  <c:v>-13.557962280268152</c:v>
                </c:pt>
                <c:pt idx="558">
                  <c:v>-13.461359013613524</c:v>
                </c:pt>
                <c:pt idx="559">
                  <c:v>-13.366248704636758</c:v>
                </c:pt>
                <c:pt idx="560">
                  <c:v>-13.272590032535826</c:v>
                </c:pt>
                <c:pt idx="561">
                  <c:v>-13.180342508516876</c:v>
                </c:pt>
                <c:pt idx="562">
                  <c:v>-13.089466432563686</c:v>
                </c:pt>
                <c:pt idx="563">
                  <c:v>-12.999922851169552</c:v>
                </c:pt>
                <c:pt idx="564">
                  <c:v>-12.911673515948408</c:v>
                </c:pt>
                <c:pt idx="565">
                  <c:v>-12.8246808430436</c:v>
                </c:pt>
                <c:pt idx="566">
                  <c:v>-12.738907873254687</c:v>
                </c:pt>
                <c:pt idx="567">
                  <c:v>-12.654318232804037</c:v>
                </c:pt>
                <c:pt idx="568">
                  <c:v>-12.570876094666199</c:v>
                </c:pt>
                <c:pt idx="569">
                  <c:v>-12.488546140384233</c:v>
                </c:pt>
                <c:pt idx="570">
                  <c:v>-12.407293522297856</c:v>
                </c:pt>
                <c:pt idx="571">
                  <c:v>-12.327083826108954</c:v>
                </c:pt>
                <c:pt idx="572">
                  <c:v>-12.247883033710549</c:v>
                </c:pt>
                <c:pt idx="573">
                  <c:v>-12.169657486205306</c:v>
                </c:pt>
                <c:pt idx="574">
                  <c:v>-12.092373847040038</c:v>
                </c:pt>
                <c:pt idx="575">
                  <c:v>-12.015999065182212</c:v>
                </c:pt>
                <c:pt idx="576">
                  <c:v>-11.940500338264403</c:v>
                </c:pt>
                <c:pt idx="577">
                  <c:v>-11.86584507562196</c:v>
                </c:pt>
                <c:pt idx="578">
                  <c:v>-11.792000861148669</c:v>
                </c:pt>
                <c:pt idx="579">
                  <c:v>-11.718935415894164</c:v>
                </c:pt>
                <c:pt idx="580">
                  <c:v>-11.646616560326052</c:v>
                </c:pt>
                <c:pt idx="581">
                  <c:v>-11.575012176178442</c:v>
                </c:pt>
                <c:pt idx="582">
                  <c:v>-11.504090167807295</c:v>
                </c:pt>
                <c:pt idx="583">
                  <c:v>-11.433818422971733</c:v>
                </c:pt>
                <c:pt idx="584">
                  <c:v>-11.364164772958635</c:v>
                </c:pt>
                <c:pt idx="585">
                  <c:v>-11.295096951966459</c:v>
                </c:pt>
                <c:pt idx="586">
                  <c:v>-11.226582555662249</c:v>
                </c:pt>
                <c:pt idx="587">
                  <c:v>-11.158588998824115</c:v>
                </c:pt>
                <c:pt idx="588">
                  <c:v>-11.091083471979413</c:v>
                </c:pt>
                <c:pt idx="589">
                  <c:v>-11.024032896947023</c:v>
                </c:pt>
                <c:pt idx="590">
                  <c:v>-10.957403881190132</c:v>
                </c:pt>
                <c:pt idx="591">
                  <c:v>-10.891162670883979</c:v>
                </c:pt>
                <c:pt idx="592">
                  <c:v>-10.825275102601147</c:v>
                </c:pt>
                <c:pt idx="593">
                  <c:v>-10.759706553515368</c:v>
                </c:pt>
                <c:pt idx="594">
                  <c:v>-10.694421890022957</c:v>
                </c:pt>
                <c:pt idx="595">
                  <c:v>-10.62938541467992</c:v>
                </c:pt>
                <c:pt idx="596">
                  <c:v>-10.564560811351553</c:v>
                </c:pt>
                <c:pt idx="597">
                  <c:v>-10.499911088470714</c:v>
                </c:pt>
                <c:pt idx="598">
                  <c:v>-10.435398520300788</c:v>
                </c:pt>
                <c:pt idx="599">
                  <c:v>-10.370984586099883</c:v>
                </c:pt>
                <c:pt idx="600">
                  <c:v>-10.306629907083789</c:v>
                </c:pt>
                <c:pt idx="601">
                  <c:v>-10.242294181087487</c:v>
                </c:pt>
                <c:pt idx="602">
                  <c:v>-10.177936114828055</c:v>
                </c:pt>
                <c:pt idx="603">
                  <c:v>-10.11351335367624</c:v>
                </c:pt>
                <c:pt idx="604">
                  <c:v>-10.048982408849982</c:v>
                </c:pt>
                <c:pt idx="605">
                  <c:v>-9.984298581950851</c:v>
                </c:pt>
                <c:pt idx="606">
                  <c:v>-9.919415886774166</c:v>
                </c:pt>
                <c:pt idx="607">
                  <c:v>-9.8542869683359395</c:v>
                </c:pt>
                <c:pt idx="608">
                  <c:v>-9.7888630190747961</c:v>
                </c:pt>
                <c:pt idx="609">
                  <c:v>-9.7230936922054312</c:v>
                </c:pt>
                <c:pt idx="610">
                  <c:v>-9.656927012222452</c:v>
                </c:pt>
                <c:pt idx="611">
                  <c:v>-9.5903092825799447</c:v>
                </c:pt>
                <c:pt idx="612">
                  <c:v>-9.5231849906037205</c:v>
                </c:pt>
                <c:pt idx="613">
                  <c:v>-9.4554967097305749</c:v>
                </c:pt>
                <c:pt idx="614">
                  <c:v>-9.387184999212737</c:v>
                </c:pt>
                <c:pt idx="615">
                  <c:v>-9.3181883014770364</c:v>
                </c:pt>
                <c:pt idx="616">
                  <c:v>-9.248442837388108</c:v>
                </c:pt>
                <c:pt idx="617">
                  <c:v>-9.1778824997342561</c:v>
                </c:pt>
                <c:pt idx="618">
                  <c:v>-9.1064387453345983</c:v>
                </c:pt>
                <c:pt idx="619">
                  <c:v>-9.0340404862582879</c:v>
                </c:pt>
                <c:pt idx="620">
                  <c:v>-8.9606139807520258</c:v>
                </c:pt>
                <c:pt idx="621">
                  <c:v>-8.8860827245926721</c:v>
                </c:pt>
                <c:pt idx="622">
                  <c:v>-8.8103673437187222</c:v>
                </c:pt>
                <c:pt idx="623">
                  <c:v>-8.7333854891497857</c:v>
                </c:pt>
                <c:pt idx="624">
                  <c:v>-8.6550517353784517</c:v>
                </c:pt>
                <c:pt idx="625">
                  <c:v>-8.5752774836158707</c:v>
                </c:pt>
                <c:pt idx="626">
                  <c:v>-8.4939708714929907</c:v>
                </c:pt>
                <c:pt idx="627">
                  <c:v>-8.4110366910647016</c:v>
                </c:pt>
                <c:pt idx="628">
                  <c:v>-8.3263763172365994</c:v>
                </c:pt>
                <c:pt idx="629">
                  <c:v>-8.239887649033701</c:v>
                </c:pt>
                <c:pt idx="630">
                  <c:v>-8.1514650664592523</c:v>
                </c:pt>
                <c:pt idx="631">
                  <c:v>-8.0609994060491648</c:v>
                </c:pt>
                <c:pt idx="632">
                  <c:v>-7.9683779586136101</c:v>
                </c:pt>
                <c:pt idx="633">
                  <c:v>-7.8734844930703858</c:v>
                </c:pt>
                <c:pt idx="634">
                  <c:v>-7.7761993107121894</c:v>
                </c:pt>
                <c:pt idx="635">
                  <c:v>-7.6763993347078676</c:v>
                </c:pt>
                <c:pt idx="636">
                  <c:v>-7.5739582401097865</c:v>
                </c:pt>
                <c:pt idx="637">
                  <c:v>-7.4687466301176624</c:v>
                </c:pt>
                <c:pt idx="638">
                  <c:v>-7.3606322648222342</c:v>
                </c:pt>
                <c:pt idx="639">
                  <c:v>-7.2494803491057098</c:v>
                </c:pt>
                <c:pt idx="640">
                  <c:v>-7.1351538867924189</c:v>
                </c:pt>
                <c:pt idx="641">
                  <c:v>-7.0175141084999231</c:v>
                </c:pt>
                <c:pt idx="642">
                  <c:v>-6.8964209809115271</c:v>
                </c:pt>
                <c:pt idx="643">
                  <c:v>-6.7717338053440264</c:v>
                </c:pt>
                <c:pt idx="644">
                  <c:v>-6.643311913482429</c:v>
                </c:pt>
                <c:pt idx="645">
                  <c:v>-6.5110154679544676</c:v>
                </c:pt>
                <c:pt idx="646">
                  <c:v>-6.3747063749748376</c:v>
                </c:pt>
                <c:pt idx="647">
                  <c:v>-6.2342493155509793</c:v>
                </c:pt>
                <c:pt idx="648">
                  <c:v>-6.0895129006547615</c:v>
                </c:pt>
                <c:pt idx="649">
                  <c:v>-5.9403709542721082</c:v>
                </c:pt>
                <c:pt idx="650">
                  <c:v>-5.7867039262915787</c:v>
                </c:pt>
                <c:pt idx="651">
                  <c:v>-5.6284004347339192</c:v>
                </c:pt>
                <c:pt idx="652">
                  <c:v>-5.4653589338179209</c:v>
                </c:pt>
                <c:pt idx="653">
                  <c:v>-5.2974895007779006</c:v>
                </c:pt>
                <c:pt idx="654">
                  <c:v>-5.1247157301901325</c:v>
                </c:pt>
                <c:pt idx="655">
                  <c:v>-4.9469767198516692</c:v>
                </c:pt>
                <c:pt idx="656">
                  <c:v>-4.7642291270423929</c:v>
                </c:pt>
                <c:pt idx="657">
                  <c:v>-4.5764492683873517</c:v>
                </c:pt>
                <c:pt idx="658">
                  <c:v>-4.3836352306668473</c:v>
                </c:pt>
                <c:pt idx="659">
                  <c:v>-4.185808953992634</c:v>
                </c:pt>
                <c:pt idx="660">
                  <c:v>-3.983018243029401</c:v>
                </c:pt>
                <c:pt idx="661">
                  <c:v>-3.7753386566910043</c:v>
                </c:pt>
                <c:pt idx="662">
                  <c:v>-3.5628752223240618</c:v>
                </c:pt>
                <c:pt idx="663">
                  <c:v>-3.3457639171810438</c:v>
                </c:pt>
                <c:pt idx="664">
                  <c:v>-3.1241728583660082</c:v>
                </c:pt>
                <c:pt idx="665">
                  <c:v>-2.8983031427806214</c:v>
                </c:pt>
                <c:pt idx="666">
                  <c:v>-2.6683892812340195</c:v>
                </c:pt>
                <c:pt idx="667">
                  <c:v>-2.434699176058587</c:v>
                </c:pt>
                <c:pt idx="668">
                  <c:v>-2.1975335994339948</c:v>
                </c:pt>
                <c:pt idx="669">
                  <c:v>-1.9572251401600043</c:v>
                </c:pt>
                <c:pt idx="670">
                  <c:v>-1.7141365996614655</c:v>
                </c:pt>
                <c:pt idx="671">
                  <c:v>-1.4686588332009045</c:v>
                </c:pt>
                <c:pt idx="672">
                  <c:v>-1.2212080490753909</c:v>
                </c:pt>
                <c:pt idx="673">
                  <c:v>-0.97222259627891572</c:v>
                </c:pt>
                <c:pt idx="674">
                  <c:v>-0.7221592888809083</c:v>
                </c:pt>
                <c:pt idx="675">
                  <c:v>-0.47148933228630185</c:v>
                </c:pt>
                <c:pt idx="676">
                  <c:v>-0.22069393166662754</c:v>
                </c:pt>
                <c:pt idx="677">
                  <c:v>2.9740324696140075E-2</c:v>
                </c:pt>
                <c:pt idx="678">
                  <c:v>0.27932620538460495</c:v>
                </c:pt>
                <c:pt idx="679">
                  <c:v>0.52758059233211452</c:v>
                </c:pt>
                <c:pt idx="680">
                  <c:v>0.77402914628014763</c:v>
                </c:pt>
                <c:pt idx="681">
                  <c:v>1.0182107772908573</c:v>
                </c:pt>
                <c:pt idx="682">
                  <c:v>1.2596818241519978</c:v>
                </c:pt>
                <c:pt idx="683">
                  <c:v>1.4980198579124946</c:v>
                </c:pt>
                <c:pt idx="684">
                  <c:v>1.7328270391416007</c:v>
                </c:pt>
                <c:pt idx="685">
                  <c:v>1.963732974966961</c:v>
                </c:pt>
                <c:pt idx="686">
                  <c:v>2.1903970395893686</c:v>
                </c:pt>
                <c:pt idx="687">
                  <c:v>2.41251013985854</c:v>
                </c:pt>
                <c:pt idx="688">
                  <c:v>2.6297959247484894</c:v>
                </c:pt>
                <c:pt idx="689">
                  <c:v>2.8420114534326002</c:v>
                </c:pt>
                <c:pt idx="690">
                  <c:v>3.0489473505243261</c:v>
                </c:pt>
                <c:pt idx="691">
                  <c:v>3.2504274884967845</c:v>
                </c:pt>
                <c:pt idx="692">
                  <c:v>3.4463082460867946</c:v>
                </c:pt>
                <c:pt idx="693">
                  <c:v>3.6364773975659528</c:v>
                </c:pt>
                <c:pt idx="694">
                  <c:v>3.8208526912170804</c:v>
                </c:pt>
                <c:pt idx="695">
                  <c:v>3.9993801764071137</c:v>
                </c:pt>
                <c:pt idx="696">
                  <c:v>4.1720323376053523</c:v>
                </c:pt>
                <c:pt idx="697">
                  <c:v>4.3388060909226276</c:v>
                </c:pt>
                <c:pt idx="698">
                  <c:v>4.4997206946294535</c:v>
                </c:pt>
                <c:pt idx="699">
                  <c:v>4.6548156200332915</c:v>
                </c:pt>
                <c:pt idx="700">
                  <c:v>4.8041484234150937</c:v>
                </c:pt>
                <c:pt idx="701">
                  <c:v>4.9477926537618906</c:v>
                </c:pt>
                <c:pt idx="702">
                  <c:v>5.085835825054728</c:v>
                </c:pt>
                <c:pt idx="703">
                  <c:v>5.2183774760958634</c:v>
                </c:pt>
                <c:pt idx="704">
                  <c:v>5.3455273354491162</c:v>
                </c:pt>
                <c:pt idx="705">
                  <c:v>5.4674036041368064</c:v>
                </c:pt>
                <c:pt idx="706">
                  <c:v>5.5841313643556223</c:v>
                </c:pt>
                <c:pt idx="707">
                  <c:v>5.6958411186751912</c:v>
                </c:pt>
                <c:pt idx="708">
                  <c:v>5.8026674609700626</c:v>
                </c:pt>
                <c:pt idx="709">
                  <c:v>5.9047478776880755</c:v>
                </c:pt>
                <c:pt idx="710">
                  <c:v>6.0022216759391842</c:v>
                </c:pt>
                <c:pt idx="711">
                  <c:v>6.0952290332511954</c:v>
                </c:pt>
                <c:pt idx="712">
                  <c:v>6.183910162628635</c:v>
                </c:pt>
                <c:pt idx="713">
                  <c:v>6.2684045857120569</c:v>
                </c:pt>
                <c:pt idx="714">
                  <c:v>6.3488505063116536</c:v>
                </c:pt>
                <c:pt idx="715">
                  <c:v>6.425384276327887</c:v>
                </c:pt>
                <c:pt idx="716">
                  <c:v>6.4981399460237359</c:v>
                </c:pt>
                <c:pt idx="717">
                  <c:v>6.5672488907338753</c:v>
                </c:pt>
                <c:pt idx="718">
                  <c:v>6.6328395063461949</c:v>
                </c:pt>
                <c:pt idx="719">
                  <c:v>6.6950369662370637</c:v>
                </c:pt>
                <c:pt idx="720">
                  <c:v>6.7539630327547941</c:v>
                </c:pt>
                <c:pt idx="721">
                  <c:v>6.8097359168021434</c:v>
                </c:pt>
                <c:pt idx="722">
                  <c:v>6.8624701795488372</c:v>
                </c:pt>
                <c:pt idx="723">
                  <c:v>6.9122766707938181</c:v>
                </c:pt>
                <c:pt idx="724">
                  <c:v>6.9592624989816612</c:v>
                </c:pt>
                <c:pt idx="725">
                  <c:v>7.0035310283496433</c:v>
                </c:pt>
                <c:pt idx="726">
                  <c:v>7.0451818991341968</c:v>
                </c:pt>
                <c:pt idx="727">
                  <c:v>7.0843110671936014</c:v>
                </c:pt>
                <c:pt idx="728">
                  <c:v>7.1210108598043638</c:v>
                </c:pt>
                <c:pt idx="729">
                  <c:v>7.1553700447605166</c:v>
                </c:pt>
                <c:pt idx="730">
                  <c:v>7.1874739102470029</c:v>
                </c:pt>
                <c:pt idx="731">
                  <c:v>7.2174043532709806</c:v>
                </c:pt>
                <c:pt idx="732">
                  <c:v>7.2452399747184373</c:v>
                </c:pt>
                <c:pt idx="733">
                  <c:v>7.2710561793599293</c:v>
                </c:pt>
                <c:pt idx="734">
                  <c:v>7.2949252793591324</c:v>
                </c:pt>
                <c:pt idx="735">
                  <c:v>7.3169166000437267</c:v>
                </c:pt>
                <c:pt idx="736">
                  <c:v>7.3370965868809712</c:v>
                </c:pt>
                <c:pt idx="737">
                  <c:v>7.3555289127626002</c:v>
                </c:pt>
                <c:pt idx="738">
                  <c:v>7.3722745848465898</c:v>
                </c:pt>
                <c:pt idx="739">
                  <c:v>7.3873920503291881</c:v>
                </c:pt>
                <c:pt idx="740">
                  <c:v>7.4009373006306092</c:v>
                </c:pt>
                <c:pt idx="741">
                  <c:v>7.4129639735737927</c:v>
                </c:pt>
                <c:pt idx="742">
                  <c:v>7.4235234532190502</c:v>
                </c:pt>
                <c:pt idx="743">
                  <c:v>7.4326649670894742</c:v>
                </c:pt>
                <c:pt idx="744">
                  <c:v>7.4404356805842076</c:v>
                </c:pt>
                <c:pt idx="745">
                  <c:v>7.4468807884299313</c:v>
                </c:pt>
                <c:pt idx="746">
                  <c:v>7.4520436030663806</c:v>
                </c:pt>
                <c:pt idx="747">
                  <c:v>7.4559656399004126</c:v>
                </c:pt>
                <c:pt idx="748">
                  <c:v>7.4586866993956651</c:v>
                </c:pt>
                <c:pt idx="749">
                  <c:v>7.4602449459921933</c:v>
                </c:pt>
                <c:pt idx="750">
                  <c:v>7.4606769838733076</c:v>
                </c:pt>
                <c:pt idx="751">
                  <c:v>7.4600179296154678</c:v>
                </c:pt>
                <c:pt idx="752">
                  <c:v>7.4583014817724944</c:v>
                </c:pt>
                <c:pt idx="753">
                  <c:v>7.4555599874576721</c:v>
                </c:pt>
                <c:pt idx="754">
                  <c:v>7.4518245059970267</c:v>
                </c:pt>
                <c:pt idx="755">
                  <c:v>7.4471248697347185</c:v>
                </c:pt>
                <c:pt idx="756">
                  <c:v>7.4414897420770574</c:v>
                </c:pt>
                <c:pt idx="757">
                  <c:v>7.4349466728658467</c:v>
                </c:pt>
                <c:pt idx="758">
                  <c:v>7.4275221511744167</c:v>
                </c:pt>
                <c:pt idx="759">
                  <c:v>7.4192416556212946</c:v>
                </c:pt>
                <c:pt idx="760">
                  <c:v>7.4101297022972146</c:v>
                </c:pt>
                <c:pt idx="761">
                  <c:v>7.4002098904007818</c:v>
                </c:pt>
                <c:pt idx="762">
                  <c:v>7.3895049456775812</c:v>
                </c:pt>
                <c:pt idx="763">
                  <c:v>7.3780367617559177</c:v>
                </c:pt>
                <c:pt idx="764">
                  <c:v>7.3658264394707578</c:v>
                </c:pt>
                <c:pt idx="765">
                  <c:v>7.3528943242652796</c:v>
                </c:pt>
                <c:pt idx="766">
                  <c:v>7.3392600417569955</c:v>
                </c:pt>
                <c:pt idx="767">
                  <c:v>7.3249425315529226</c:v>
                </c:pt>
                <c:pt idx="768">
                  <c:v>7.309960079395454</c:v>
                </c:pt>
                <c:pt idx="769">
                  <c:v>7.2943303477177626</c:v>
                </c:pt>
                <c:pt idx="770">
                  <c:v>7.2780704046847049</c:v>
                </c:pt>
                <c:pt idx="771">
                  <c:v>7.2611967517922018</c:v>
                </c:pt>
                <c:pt idx="772">
                  <c:v>7.2437253500951764</c:v>
                </c:pt>
                <c:pt idx="773">
                  <c:v>7.2256716451311771</c:v>
                </c:pt>
                <c:pt idx="774">
                  <c:v>7.2070505906039646</c:v>
                </c:pt>
                <c:pt idx="775">
                  <c:v>7.1878766708884818</c:v>
                </c:pt>
                <c:pt idx="776">
                  <c:v>7.1681639224158662</c:v>
                </c:pt>
                <c:pt idx="777">
                  <c:v>7.1479259539944966</c:v>
                </c:pt>
                <c:pt idx="778">
                  <c:v>7.1271759661203706</c:v>
                </c:pt>
                <c:pt idx="779">
                  <c:v>7.1059267693276897</c:v>
                </c:pt>
                <c:pt idx="780">
                  <c:v>7.0841908016279849</c:v>
                </c:pt>
                <c:pt idx="781">
                  <c:v>7.0619801450838064</c:v>
                </c:pt>
                <c:pt idx="782">
                  <c:v>7.039306541560765</c:v>
                </c:pt>
                <c:pt idx="783">
                  <c:v>7.0161814076994693</c:v>
                </c:pt>
                <c:pt idx="784">
                  <c:v>6.9926158491468975</c:v>
                </c:pt>
                <c:pt idx="785">
                  <c:v>6.9686206740847023</c:v>
                </c:pt>
                <c:pt idx="786">
                  <c:v>6.9442064060900943</c:v>
                </c:pt>
                <c:pt idx="787">
                  <c:v>6.9193832963630744</c:v>
                </c:pt>
                <c:pt idx="788">
                  <c:v>6.8941613353521509</c:v>
                </c:pt>
                <c:pt idx="789">
                  <c:v>6.8685502638088938</c:v>
                </c:pt>
                <c:pt idx="790">
                  <c:v>6.8425595833002877</c:v>
                </c:pt>
                <c:pt idx="791">
                  <c:v>6.8161985662061797</c:v>
                </c:pt>
                <c:pt idx="792">
                  <c:v>6.7894762652278278</c:v>
                </c:pt>
                <c:pt idx="793">
                  <c:v>6.7624015224321736</c:v>
                </c:pt>
                <c:pt idx="794">
                  <c:v>6.7349829778551324</c:v>
                </c:pt>
                <c:pt idx="795">
                  <c:v>6.7072290776861099</c:v>
                </c:pt>
                <c:pt idx="796">
                  <c:v>6.6791480820546294</c:v>
                </c:pt>
                <c:pt idx="797">
                  <c:v>6.6507480724390504</c:v>
                </c:pt>
                <c:pt idx="798">
                  <c:v>6.622036958716194</c:v>
                </c:pt>
                <c:pt idx="799">
                  <c:v>6.5930224858697457</c:v>
                </c:pt>
                <c:pt idx="800">
                  <c:v>6.5637122403744241</c:v>
                </c:pt>
                <c:pt idx="801">
                  <c:v>6.5341136562719662</c:v>
                </c:pt>
                <c:pt idx="802">
                  <c:v>6.504234020954188</c:v>
                </c:pt>
                <c:pt idx="803">
                  <c:v>6.4740804806675598</c:v>
                </c:pt>
                <c:pt idx="804">
                  <c:v>6.44366004575304</c:v>
                </c:pt>
                <c:pt idx="805">
                  <c:v>6.4129795956341225</c:v>
                </c:pt>
                <c:pt idx="806">
                  <c:v>6.3820458835654854</c:v>
                </c:pt>
                <c:pt idx="807">
                  <c:v>6.3508655411539312</c:v>
                </c:pt>
                <c:pt idx="808">
                  <c:v>6.3194450826627078</c:v>
                </c:pt>
                <c:pt idx="809">
                  <c:v>6.2877909091097628</c:v>
                </c:pt>
                <c:pt idx="810">
                  <c:v>6.2559093121699494</c:v>
                </c:pt>
                <c:pt idx="811">
                  <c:v>6.2238064778906601</c:v>
                </c:pt>
                <c:pt idx="812">
                  <c:v>6.1914884902298999</c:v>
                </c:pt>
                <c:pt idx="813">
                  <c:v>6.1589613344253973</c:v>
                </c:pt>
                <c:pt idx="814">
                  <c:v>6.1262309002028417</c:v>
                </c:pt>
                <c:pt idx="815">
                  <c:v>6.0933029848309834</c:v>
                </c:pt>
                <c:pt idx="816">
                  <c:v>6.0601832960309707</c:v>
                </c:pt>
                <c:pt idx="817">
                  <c:v>6.0268774547468151</c:v>
                </c:pt>
                <c:pt idx="818">
                  <c:v>5.9933909977837132</c:v>
                </c:pt>
                <c:pt idx="819">
                  <c:v>5.9597293803204323</c:v>
                </c:pt>
                <c:pt idx="820">
                  <c:v>5.9258979783018084</c:v>
                </c:pt>
                <c:pt idx="821">
                  <c:v>5.8919020907170268</c:v>
                </c:pt>
                <c:pt idx="822">
                  <c:v>5.8577469417690988</c:v>
                </c:pt>
                <c:pt idx="823">
                  <c:v>5.823437682940714</c:v>
                </c:pt>
                <c:pt idx="824">
                  <c:v>5.7889793949613173</c:v>
                </c:pt>
                <c:pt idx="825">
                  <c:v>5.7543770896801476</c:v>
                </c:pt>
                <c:pt idx="826">
                  <c:v>5.7196357118496106</c:v>
                </c:pt>
                <c:pt idx="827">
                  <c:v>5.6847601408232489</c:v>
                </c:pt>
                <c:pt idx="828">
                  <c:v>5.649755192172357</c:v>
                </c:pt>
                <c:pt idx="829">
                  <c:v>5.614625619225011</c:v>
                </c:pt>
                <c:pt idx="830">
                  <c:v>5.5793761145312155</c:v>
                </c:pt>
                <c:pt idx="831">
                  <c:v>5.5440113112576546</c:v>
                </c:pt>
                <c:pt idx="832">
                  <c:v>5.5085357845153151</c:v>
                </c:pt>
                <c:pt idx="833">
                  <c:v>5.4729540526231988</c:v>
                </c:pt>
                <c:pt idx="834">
                  <c:v>5.4372705783110939</c:v>
                </c:pt>
                <c:pt idx="835">
                  <c:v>5.4014897698643018</c:v>
                </c:pt>
                <c:pt idx="836">
                  <c:v>5.3656159822130567</c:v>
                </c:pt>
                <c:pt idx="837">
                  <c:v>5.3296535179692572</c:v>
                </c:pt>
                <c:pt idx="838">
                  <c:v>5.293606628412995</c:v>
                </c:pt>
                <c:pt idx="839">
                  <c:v>5.2574795144312567</c:v>
                </c:pt>
                <c:pt idx="840">
                  <c:v>5.2212763274111014</c:v>
                </c:pt>
                <c:pt idx="841">
                  <c:v>5.1850011700894489</c:v>
                </c:pt>
                <c:pt idx="842">
                  <c:v>5.1486580973615448</c:v>
                </c:pt>
                <c:pt idx="843">
                  <c:v>5.1122511170501461</c:v>
                </c:pt>
                <c:pt idx="844">
                  <c:v>5.0757841906372345</c:v>
                </c:pt>
                <c:pt idx="845">
                  <c:v>5.0392612339600911</c:v>
                </c:pt>
                <c:pt idx="846">
                  <c:v>5.0026861178735</c:v>
                </c:pt>
                <c:pt idx="847">
                  <c:v>4.9660626688796485</c:v>
                </c:pt>
                <c:pt idx="848">
                  <c:v>4.9293946697273947</c:v>
                </c:pt>
                <c:pt idx="849">
                  <c:v>4.8926858599822944</c:v>
                </c:pt>
                <c:pt idx="850">
                  <c:v>4.8559399365689506</c:v>
                </c:pt>
                <c:pt idx="851">
                  <c:v>4.8191605542869596</c:v>
                </c:pt>
                <c:pt idx="852">
                  <c:v>4.7823513263018347</c:v>
                </c:pt>
                <c:pt idx="853">
                  <c:v>4.7455158246121263</c:v>
                </c:pt>
                <c:pt idx="854">
                  <c:v>4.7086575804939832</c:v>
                </c:pt>
                <c:pt idx="855">
                  <c:v>4.6717800849242526</c:v>
                </c:pt>
                <c:pt idx="856">
                  <c:v>4.6348867889832963</c:v>
                </c:pt>
                <c:pt idx="857">
                  <c:v>4.5979811042384933</c:v>
                </c:pt>
                <c:pt idx="858">
                  <c:v>4.5610664031095043</c:v>
                </c:pt>
                <c:pt idx="859">
                  <c:v>4.5241460192162428</c:v>
                </c:pt>
                <c:pt idx="860">
                  <c:v>4.4872232477104577</c:v>
                </c:pt>
                <c:pt idx="861">
                  <c:v>4.4503013455918534</c:v>
                </c:pt>
                <c:pt idx="862">
                  <c:v>4.4133835320095463</c:v>
                </c:pt>
                <c:pt idx="863">
                  <c:v>4.3764729885497182</c:v>
                </c:pt>
                <c:pt idx="864">
                  <c:v>4.3395728595101994</c:v>
                </c:pt>
                <c:pt idx="865">
                  <c:v>4.3026862521627587</c:v>
                </c:pt>
                <c:pt idx="866">
                  <c:v>4.2658162370038015</c:v>
                </c:pt>
                <c:pt idx="867">
                  <c:v>4.2289658479941199</c:v>
                </c:pt>
                <c:pt idx="868">
                  <c:v>4.1921380827884489</c:v>
                </c:pt>
                <c:pt idx="869">
                  <c:v>4.1553359029552892</c:v>
                </c:pt>
                <c:pt idx="870">
                  <c:v>4.1185622341877863</c:v>
                </c:pt>
                <c:pt idx="871">
                  <c:v>4.0818199665060764</c:v>
                </c:pt>
                <c:pt idx="872">
                  <c:v>4.0451119544517313</c:v>
                </c:pt>
                <c:pt idx="873">
                  <c:v>4.0084410172748326</c:v>
                </c:pt>
                <c:pt idx="874">
                  <c:v>3.9718099391140953</c:v>
                </c:pt>
                <c:pt idx="875">
                  <c:v>3.9352214691706289</c:v>
                </c:pt>
                <c:pt idx="876">
                  <c:v>3.8986783218757077</c:v>
                </c:pt>
                <c:pt idx="877">
                  <c:v>3.8621831770530566</c:v>
                </c:pt>
                <c:pt idx="878">
                  <c:v>3.8257386800759923</c:v>
                </c:pt>
                <c:pt idx="879">
                  <c:v>3.7893474420199125</c:v>
                </c:pt>
                <c:pt idx="880">
                  <c:v>3.7530120398104554</c:v>
                </c:pt>
                <c:pt idx="881">
                  <c:v>3.7167350163677035</c:v>
                </c:pt>
                <c:pt idx="882">
                  <c:v>3.6805188807468019</c:v>
                </c:pt>
                <c:pt idx="883">
                  <c:v>3.6443661082753405</c:v>
                </c:pt>
                <c:pt idx="884">
                  <c:v>3.6082791406877215</c:v>
                </c:pt>
                <c:pt idx="885">
                  <c:v>3.5722603862569979</c:v>
                </c:pt>
                <c:pt idx="886">
                  <c:v>3.5363122199242571</c:v>
                </c:pt>
                <c:pt idx="887">
                  <c:v>3.5004369834260149</c:v>
                </c:pt>
                <c:pt idx="888">
                  <c:v>3.4646369854197729</c:v>
                </c:pt>
                <c:pt idx="889">
                  <c:v>3.4289145016080349</c:v>
                </c:pt>
                <c:pt idx="890">
                  <c:v>3.3932717748610086</c:v>
                </c:pt>
                <c:pt idx="891">
                  <c:v>3.357711015338217</c:v>
                </c:pt>
                <c:pt idx="892">
                  <c:v>3.3222344006092603</c:v>
                </c:pt>
                <c:pt idx="893">
                  <c:v>3.2868440757739164</c:v>
                </c:pt>
                <c:pt idx="894">
                  <c:v>3.2515421535817719</c:v>
                </c:pt>
                <c:pt idx="895">
                  <c:v>3.2163307145515603</c:v>
                </c:pt>
                <c:pt idx="896">
                  <c:v>3.1812118070904782</c:v>
                </c:pt>
                <c:pt idx="897">
                  <c:v>3.1461874476134373</c:v>
                </c:pt>
                <c:pt idx="898">
                  <c:v>3.1112596206626826</c:v>
                </c:pt>
                <c:pt idx="899">
                  <c:v>3.0764302790276741</c:v>
                </c:pt>
                <c:pt idx="900">
                  <c:v>3.0417013438655749</c:v>
                </c:pt>
                <c:pt idx="901">
                  <c:v>3.0070747048223279</c:v>
                </c:pt>
                <c:pt idx="902">
                  <c:v>2.9725522201545376</c:v>
                </c:pt>
                <c:pt idx="903">
                  <c:v>2.9381357168522353</c:v>
                </c:pt>
                <c:pt idx="904">
                  <c:v>2.9038269907626839</c:v>
                </c:pt>
                <c:pt idx="905">
                  <c:v>2.869627806715223</c:v>
                </c:pt>
                <c:pt idx="906">
                  <c:v>2.8355398986473936</c:v>
                </c:pt>
                <c:pt idx="907">
                  <c:v>2.8015649697323397</c:v>
                </c:pt>
                <c:pt idx="908">
                  <c:v>2.7677046925075626</c:v>
                </c:pt>
                <c:pt idx="909">
                  <c:v>2.7339607090051743</c:v>
                </c:pt>
                <c:pt idx="910">
                  <c:v>2.700334630883666</c:v>
                </c:pt>
                <c:pt idx="911">
                  <c:v>2.666828039561298</c:v>
                </c:pt>
                <c:pt idx="912">
                  <c:v>2.6334424863511137</c:v>
                </c:pt>
                <c:pt idx="913">
                  <c:v>2.6001794925977348</c:v>
                </c:pt>
                <c:pt idx="914">
                  <c:v>2.5670405498158591</c:v>
                </c:pt>
                <c:pt idx="915">
                  <c:v>2.5340271198306397</c:v>
                </c:pt>
                <c:pt idx="916">
                  <c:v>2.5011406349198761</c:v>
                </c:pt>
                <c:pt idx="917">
                  <c:v>2.468382497958145</c:v>
                </c:pt>
                <c:pt idx="918">
                  <c:v>2.4357540825628199</c:v>
                </c:pt>
                <c:pt idx="919">
                  <c:v>2.4032567332420962</c:v>
                </c:pt>
                <c:pt idx="920">
                  <c:v>2.3708917655449611</c:v>
                </c:pt>
                <c:pt idx="921">
                  <c:v>2.3386604662131996</c:v>
                </c:pt>
                <c:pt idx="922">
                  <c:v>2.3065640933354041</c:v>
                </c:pt>
                <c:pt idx="923">
                  <c:v>2.2746038765030434</c:v>
                </c:pt>
                <c:pt idx="924">
                  <c:v>2.2427810169685642</c:v>
                </c:pt>
                <c:pt idx="925">
                  <c:v>2.2110966878055418</c:v>
                </c:pt>
                <c:pt idx="926">
                  <c:v>2.211065215779124</c:v>
                </c:pt>
                <c:pt idx="927">
                  <c:v>2.2110337438914902</c:v>
                </c:pt>
                <c:pt idx="928">
                  <c:v>2.2110022721426335</c:v>
                </c:pt>
                <c:pt idx="929">
                  <c:v>2.2109708005325501</c:v>
                </c:pt>
                <c:pt idx="930">
                  <c:v>2.2109393290612491</c:v>
                </c:pt>
                <c:pt idx="931">
                  <c:v>2.2109078577287313</c:v>
                </c:pt>
                <c:pt idx="932">
                  <c:v>2.2108763865349905</c:v>
                </c:pt>
                <c:pt idx="933">
                  <c:v>2.2108449154800374</c:v>
                </c:pt>
                <c:pt idx="934">
                  <c:v>2.2108134445638701</c:v>
                </c:pt>
                <c:pt idx="935">
                  <c:v>2.2107819737864824</c:v>
                </c:pt>
                <c:pt idx="936">
                  <c:v>2.2107505031478842</c:v>
                </c:pt>
                <c:pt idx="937">
                  <c:v>2.2107190326480737</c:v>
                </c:pt>
                <c:pt idx="938">
                  <c:v>2.2106875622870499</c:v>
                </c:pt>
                <c:pt idx="939">
                  <c:v>2.2106560920648164</c:v>
                </c:pt>
                <c:pt idx="940">
                  <c:v>2.2106246219813732</c:v>
                </c:pt>
                <c:pt idx="941">
                  <c:v>2.2105931520367283</c:v>
                </c:pt>
                <c:pt idx="942">
                  <c:v>2.2105616822308667</c:v>
                </c:pt>
                <c:pt idx="943">
                  <c:v>2.2105302125638016</c:v>
                </c:pt>
                <c:pt idx="944">
                  <c:v>2.2104987430355392</c:v>
                </c:pt>
                <c:pt idx="945">
                  <c:v>2.2104672736460698</c:v>
                </c:pt>
                <c:pt idx="946">
                  <c:v>2.2104358043953924</c:v>
                </c:pt>
                <c:pt idx="947">
                  <c:v>2.2104043352835188</c:v>
                </c:pt>
                <c:pt idx="948">
                  <c:v>2.2103728663104443</c:v>
                </c:pt>
                <c:pt idx="949">
                  <c:v>2.2103413974761708</c:v>
                </c:pt>
                <c:pt idx="950">
                  <c:v>2.2103099287807018</c:v>
                </c:pt>
                <c:pt idx="951">
                  <c:v>2.2102784602240293</c:v>
                </c:pt>
                <c:pt idx="952">
                  <c:v>2.2102469918061631</c:v>
                </c:pt>
                <c:pt idx="953">
                  <c:v>2.210215523527105</c:v>
                </c:pt>
                <c:pt idx="954">
                  <c:v>2.2101840553868497</c:v>
                </c:pt>
                <c:pt idx="955">
                  <c:v>2.2101525873854087</c:v>
                </c:pt>
                <c:pt idx="956">
                  <c:v>2.210121119522773</c:v>
                </c:pt>
                <c:pt idx="957">
                  <c:v>2.2100896517989499</c:v>
                </c:pt>
                <c:pt idx="958">
                  <c:v>2.2100581842139277</c:v>
                </c:pt>
                <c:pt idx="959">
                  <c:v>2.2100267167677288</c:v>
                </c:pt>
                <c:pt idx="960">
                  <c:v>2.2099952494603388</c:v>
                </c:pt>
                <c:pt idx="961">
                  <c:v>2.2099637822917604</c:v>
                </c:pt>
                <c:pt idx="962">
                  <c:v>2.209932315261999</c:v>
                </c:pt>
                <c:pt idx="963">
                  <c:v>2.2099008483710598</c:v>
                </c:pt>
                <c:pt idx="964">
                  <c:v>2.2098693816189261</c:v>
                </c:pt>
                <c:pt idx="965">
                  <c:v>2.2098379150056209</c:v>
                </c:pt>
                <c:pt idx="966">
                  <c:v>2.2098064485311317</c:v>
                </c:pt>
                <c:pt idx="967">
                  <c:v>2.2097749821954666</c:v>
                </c:pt>
                <c:pt idx="968">
                  <c:v>2.2097435159986185</c:v>
                </c:pt>
                <c:pt idx="969">
                  <c:v>2.2097120499405944</c:v>
                </c:pt>
                <c:pt idx="970">
                  <c:v>2.2096805840213998</c:v>
                </c:pt>
                <c:pt idx="971">
                  <c:v>2.2096491182410247</c:v>
                </c:pt>
                <c:pt idx="972">
                  <c:v>2.2096176525994782</c:v>
                </c:pt>
                <c:pt idx="973">
                  <c:v>2.2095861870967601</c:v>
                </c:pt>
                <c:pt idx="974">
                  <c:v>2.2095547217328662</c:v>
                </c:pt>
                <c:pt idx="975">
                  <c:v>2.2095232565078096</c:v>
                </c:pt>
                <c:pt idx="976">
                  <c:v>2.2094917914215797</c:v>
                </c:pt>
                <c:pt idx="977">
                  <c:v>2.209460326474181</c:v>
                </c:pt>
                <c:pt idx="978">
                  <c:v>2.2094288616656179</c:v>
                </c:pt>
                <c:pt idx="979">
                  <c:v>2.2093973969958896</c:v>
                </c:pt>
                <c:pt idx="980">
                  <c:v>2.2093659324649924</c:v>
                </c:pt>
                <c:pt idx="981">
                  <c:v>2.2093344680729352</c:v>
                </c:pt>
                <c:pt idx="982">
                  <c:v>2.2093030038197163</c:v>
                </c:pt>
                <c:pt idx="983">
                  <c:v>2.2092715397053331</c:v>
                </c:pt>
                <c:pt idx="984">
                  <c:v>2.2092400757297943</c:v>
                </c:pt>
                <c:pt idx="985">
                  <c:v>2.2092086118930929</c:v>
                </c:pt>
                <c:pt idx="986">
                  <c:v>2.2091771481952307</c:v>
                </c:pt>
                <c:pt idx="987">
                  <c:v>2.2091456846362156</c:v>
                </c:pt>
                <c:pt idx="988">
                  <c:v>2.2091142212160433</c:v>
                </c:pt>
                <c:pt idx="989">
                  <c:v>2.2090827579347172</c:v>
                </c:pt>
                <c:pt idx="990">
                  <c:v>2.2090512947922329</c:v>
                </c:pt>
                <c:pt idx="991">
                  <c:v>2.2090198317886038</c:v>
                </c:pt>
                <c:pt idx="992">
                  <c:v>2.2089883689238237</c:v>
                </c:pt>
                <c:pt idx="993">
                  <c:v>2.2089569061978871</c:v>
                </c:pt>
                <c:pt idx="994">
                  <c:v>2.2089254436108066</c:v>
                </c:pt>
                <c:pt idx="995">
                  <c:v>2.2088939811625741</c:v>
                </c:pt>
                <c:pt idx="996">
                  <c:v>2.2088625188531941</c:v>
                </c:pt>
                <c:pt idx="997">
                  <c:v>2.2088310566826701</c:v>
                </c:pt>
                <c:pt idx="998">
                  <c:v>2.2087995946510048</c:v>
                </c:pt>
                <c:pt idx="999">
                  <c:v>2.2087681327581903</c:v>
                </c:pt>
                <c:pt idx="1000">
                  <c:v>2.208736671004238</c:v>
                </c:pt>
              </c:numCache>
            </c:numRef>
          </c:yVal>
          <c:smooth val="0"/>
          <c:extLst>
            <c:ext xmlns:c16="http://schemas.microsoft.com/office/drawing/2014/chart" uri="{C3380CC4-5D6E-409C-BE32-E72D297353CC}">
              <c16:uniqueId val="{00000000-2879-444D-95E8-1EF697772180}"/>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47.400100000000343</c:v>
                </c:pt>
                <c:pt idx="926">
                  <c:v>47.400200000000346</c:v>
                </c:pt>
                <c:pt idx="927">
                  <c:v>47.40030000000035</c:v>
                </c:pt>
                <c:pt idx="928">
                  <c:v>47.400400000000353</c:v>
                </c:pt>
                <c:pt idx="929">
                  <c:v>47.400500000000356</c:v>
                </c:pt>
                <c:pt idx="930">
                  <c:v>47.40060000000036</c:v>
                </c:pt>
                <c:pt idx="931">
                  <c:v>47.400700000000363</c:v>
                </c:pt>
                <c:pt idx="932">
                  <c:v>47.400800000000366</c:v>
                </c:pt>
                <c:pt idx="933">
                  <c:v>47.40090000000037</c:v>
                </c:pt>
                <c:pt idx="934">
                  <c:v>47.401000000000373</c:v>
                </c:pt>
                <c:pt idx="935">
                  <c:v>47.401100000000376</c:v>
                </c:pt>
                <c:pt idx="936">
                  <c:v>47.401200000000379</c:v>
                </c:pt>
                <c:pt idx="937">
                  <c:v>47.401300000000383</c:v>
                </c:pt>
                <c:pt idx="938">
                  <c:v>47.401400000000386</c:v>
                </c:pt>
                <c:pt idx="939">
                  <c:v>47.401500000000389</c:v>
                </c:pt>
                <c:pt idx="940">
                  <c:v>47.401600000000393</c:v>
                </c:pt>
                <c:pt idx="941">
                  <c:v>47.401700000000396</c:v>
                </c:pt>
                <c:pt idx="942">
                  <c:v>47.401800000000399</c:v>
                </c:pt>
                <c:pt idx="943">
                  <c:v>47.401900000000403</c:v>
                </c:pt>
                <c:pt idx="944">
                  <c:v>47.402000000000406</c:v>
                </c:pt>
                <c:pt idx="945">
                  <c:v>47.402100000000409</c:v>
                </c:pt>
                <c:pt idx="946">
                  <c:v>47.402200000000413</c:v>
                </c:pt>
                <c:pt idx="947">
                  <c:v>47.402300000000416</c:v>
                </c:pt>
                <c:pt idx="948">
                  <c:v>47.402400000000419</c:v>
                </c:pt>
                <c:pt idx="949">
                  <c:v>47.402500000000423</c:v>
                </c:pt>
                <c:pt idx="950">
                  <c:v>47.402600000000426</c:v>
                </c:pt>
                <c:pt idx="951">
                  <c:v>47.402700000000429</c:v>
                </c:pt>
                <c:pt idx="952">
                  <c:v>47.402800000000433</c:v>
                </c:pt>
                <c:pt idx="953">
                  <c:v>47.402900000000436</c:v>
                </c:pt>
                <c:pt idx="954">
                  <c:v>47.403000000000439</c:v>
                </c:pt>
                <c:pt idx="955">
                  <c:v>47.403100000000443</c:v>
                </c:pt>
                <c:pt idx="956">
                  <c:v>47.403200000000446</c:v>
                </c:pt>
                <c:pt idx="957">
                  <c:v>47.403300000000449</c:v>
                </c:pt>
                <c:pt idx="958">
                  <c:v>47.403400000000453</c:v>
                </c:pt>
                <c:pt idx="959">
                  <c:v>47.403500000000456</c:v>
                </c:pt>
                <c:pt idx="960">
                  <c:v>47.403600000000459</c:v>
                </c:pt>
                <c:pt idx="961">
                  <c:v>47.403700000000462</c:v>
                </c:pt>
                <c:pt idx="962">
                  <c:v>47.403800000000466</c:v>
                </c:pt>
                <c:pt idx="963">
                  <c:v>47.403900000000469</c:v>
                </c:pt>
                <c:pt idx="964">
                  <c:v>47.404000000000472</c:v>
                </c:pt>
                <c:pt idx="965">
                  <c:v>47.404100000000476</c:v>
                </c:pt>
                <c:pt idx="966">
                  <c:v>47.404200000000479</c:v>
                </c:pt>
                <c:pt idx="967">
                  <c:v>47.404300000000482</c:v>
                </c:pt>
                <c:pt idx="968">
                  <c:v>47.404400000000486</c:v>
                </c:pt>
                <c:pt idx="969">
                  <c:v>47.404500000000489</c:v>
                </c:pt>
                <c:pt idx="970">
                  <c:v>47.404600000000492</c:v>
                </c:pt>
                <c:pt idx="971">
                  <c:v>47.404700000000496</c:v>
                </c:pt>
                <c:pt idx="972">
                  <c:v>47.404800000000499</c:v>
                </c:pt>
                <c:pt idx="973">
                  <c:v>47.404900000000502</c:v>
                </c:pt>
                <c:pt idx="974">
                  <c:v>47.405000000000506</c:v>
                </c:pt>
                <c:pt idx="975">
                  <c:v>47.405100000000509</c:v>
                </c:pt>
                <c:pt idx="976">
                  <c:v>47.405200000000512</c:v>
                </c:pt>
                <c:pt idx="977">
                  <c:v>47.405300000000516</c:v>
                </c:pt>
                <c:pt idx="978">
                  <c:v>47.405400000000519</c:v>
                </c:pt>
                <c:pt idx="979">
                  <c:v>47.405500000000522</c:v>
                </c:pt>
                <c:pt idx="980">
                  <c:v>47.405600000000526</c:v>
                </c:pt>
                <c:pt idx="981">
                  <c:v>47.405700000000529</c:v>
                </c:pt>
                <c:pt idx="982">
                  <c:v>47.405800000000532</c:v>
                </c:pt>
                <c:pt idx="983">
                  <c:v>47.405900000000535</c:v>
                </c:pt>
                <c:pt idx="984">
                  <c:v>47.406000000000539</c:v>
                </c:pt>
                <c:pt idx="985">
                  <c:v>47.406100000000542</c:v>
                </c:pt>
                <c:pt idx="986">
                  <c:v>47.406200000000545</c:v>
                </c:pt>
                <c:pt idx="987">
                  <c:v>47.406300000000549</c:v>
                </c:pt>
                <c:pt idx="988">
                  <c:v>47.406400000000552</c:v>
                </c:pt>
                <c:pt idx="989">
                  <c:v>47.406500000000555</c:v>
                </c:pt>
                <c:pt idx="990">
                  <c:v>47.406600000000559</c:v>
                </c:pt>
                <c:pt idx="991">
                  <c:v>47.406700000000562</c:v>
                </c:pt>
                <c:pt idx="992">
                  <c:v>47.406800000000565</c:v>
                </c:pt>
                <c:pt idx="993">
                  <c:v>47.406900000000569</c:v>
                </c:pt>
                <c:pt idx="994">
                  <c:v>47.407000000000572</c:v>
                </c:pt>
                <c:pt idx="995">
                  <c:v>47.407100000000575</c:v>
                </c:pt>
                <c:pt idx="996">
                  <c:v>47.407200000000579</c:v>
                </c:pt>
                <c:pt idx="997">
                  <c:v>47.407300000000582</c:v>
                </c:pt>
                <c:pt idx="998">
                  <c:v>47.407400000000585</c:v>
                </c:pt>
                <c:pt idx="999">
                  <c:v>47.407500000000589</c:v>
                </c:pt>
                <c:pt idx="1000">
                  <c:v>47.407600000000592</c:v>
                </c:pt>
              </c:numCache>
            </c:numRef>
          </c:xVal>
          <c:yVal>
            <c:numRef>
              <c:f>Calculs!$AH$4:$AH$1004</c:f>
              <c:numCache>
                <c:formatCode>0.00</c:formatCode>
                <c:ptCount val="1001"/>
                <c:pt idx="0">
                  <c:v>0</c:v>
                </c:pt>
                <c:pt idx="1">
                  <c:v>17.162373763873944</c:v>
                </c:pt>
                <c:pt idx="2">
                  <c:v>36.096981406163877</c:v>
                </c:pt>
                <c:pt idx="3">
                  <c:v>43.956043779843</c:v>
                </c:pt>
                <c:pt idx="4">
                  <c:v>51.820552497715063</c:v>
                </c:pt>
                <c:pt idx="5">
                  <c:v>59.691404005979848</c:v>
                </c:pt>
                <c:pt idx="6">
                  <c:v>67.569488898713175</c:v>
                </c:pt>
                <c:pt idx="7">
                  <c:v>75.455692229367727</c:v>
                </c:pt>
                <c:pt idx="8">
                  <c:v>83.35089381506485</c:v>
                </c:pt>
                <c:pt idx="9">
                  <c:v>91.255968533961578</c:v>
                </c:pt>
                <c:pt idx="10">
                  <c:v>99.17178661596725</c:v>
                </c:pt>
                <c:pt idx="11">
                  <c:v>102.57718915345383</c:v>
                </c:pt>
                <c:pt idx="12">
                  <c:v>101.46312356552259</c:v>
                </c:pt>
                <c:pt idx="13">
                  <c:v>100.31255467049051</c:v>
                </c:pt>
                <c:pt idx="14">
                  <c:v>99.125446171643873</c:v>
                </c:pt>
                <c:pt idx="15">
                  <c:v>97.936230647839665</c:v>
                </c:pt>
                <c:pt idx="16">
                  <c:v>96.744941512104347</c:v>
                </c:pt>
                <c:pt idx="17">
                  <c:v>95.551612161782785</c:v>
                </c:pt>
                <c:pt idx="18">
                  <c:v>94.356275974504939</c:v>
                </c:pt>
                <c:pt idx="19">
                  <c:v>93.158966304173433</c:v>
                </c:pt>
                <c:pt idx="20">
                  <c:v>91.959716476973341</c:v>
                </c:pt>
                <c:pt idx="21">
                  <c:v>90.758559787404565</c:v>
                </c:pt>
                <c:pt idx="22">
                  <c:v>89.555529494337378</c:v>
                </c:pt>
                <c:pt idx="23">
                  <c:v>88.350658817092764</c:v>
                </c:pt>
                <c:pt idx="24">
                  <c:v>87.143980931546935</c:v>
                </c:pt>
                <c:pt idx="25">
                  <c:v>85.935528966261828</c:v>
                </c:pt>
                <c:pt idx="26">
                  <c:v>84.725335998641853</c:v>
                </c:pt>
                <c:pt idx="27">
                  <c:v>84.12079542892495</c:v>
                </c:pt>
                <c:pt idx="28">
                  <c:v>84.122894635729438</c:v>
                </c:pt>
                <c:pt idx="29">
                  <c:v>84.124733538249473</c:v>
                </c:pt>
                <c:pt idx="30">
                  <c:v>84.126311839087293</c:v>
                </c:pt>
                <c:pt idx="31">
                  <c:v>84.127629245197127</c:v>
                </c:pt>
                <c:pt idx="32">
                  <c:v>84.128685467898705</c:v>
                </c:pt>
                <c:pt idx="33">
                  <c:v>84.129480222891033</c:v>
                </c:pt>
                <c:pt idx="34">
                  <c:v>84.130013230265646</c:v>
                </c:pt>
                <c:pt idx="35">
                  <c:v>84.130284214520074</c:v>
                </c:pt>
                <c:pt idx="36">
                  <c:v>84.13029290457078</c:v>
                </c:pt>
                <c:pt idx="37">
                  <c:v>84.130038969586863</c:v>
                </c:pt>
                <c:pt idx="38">
                  <c:v>84.129522072983818</c:v>
                </c:pt>
                <c:pt idx="39">
                  <c:v>84.128741948412539</c:v>
                </c:pt>
                <c:pt idx="40">
                  <c:v>84.127698334143957</c:v>
                </c:pt>
                <c:pt idx="41">
                  <c:v>84.126390973074678</c:v>
                </c:pt>
                <c:pt idx="42">
                  <c:v>84.124819612732267</c:v>
                </c:pt>
                <c:pt idx="43">
                  <c:v>84.122984005281339</c:v>
                </c:pt>
                <c:pt idx="44">
                  <c:v>84.120883907529148</c:v>
                </c:pt>
                <c:pt idx="45">
                  <c:v>84.118519080932188</c:v>
                </c:pt>
                <c:pt idx="46">
                  <c:v>84.115889291602514</c:v>
                </c:pt>
                <c:pt idx="47">
                  <c:v>84.112994310314249</c:v>
                </c:pt>
                <c:pt idx="48">
                  <c:v>84.109833912510538</c:v>
                </c:pt>
                <c:pt idx="49">
                  <c:v>84.106407878310279</c:v>
                </c:pt>
                <c:pt idx="50">
                  <c:v>84.102715992515044</c:v>
                </c:pt>
                <c:pt idx="51">
                  <c:v>84.09875804461619</c:v>
                </c:pt>
                <c:pt idx="52">
                  <c:v>84.094533828801858</c:v>
                </c:pt>
                <c:pt idx="53">
                  <c:v>84.090043143964067</c:v>
                </c:pt>
                <c:pt idx="54">
                  <c:v>84.085285793705879</c:v>
                </c:pt>
                <c:pt idx="55">
                  <c:v>84.080261586348428</c:v>
                </c:pt>
                <c:pt idx="56">
                  <c:v>84.074970334938101</c:v>
                </c:pt>
                <c:pt idx="57">
                  <c:v>84.069411857253485</c:v>
                </c:pt>
                <c:pt idx="58">
                  <c:v>84.063585975812614</c:v>
                </c:pt>
                <c:pt idx="59">
                  <c:v>84.057492517879808</c:v>
                </c:pt>
                <c:pt idx="60">
                  <c:v>84.051131315472659</c:v>
                </c:pt>
                <c:pt idx="61">
                  <c:v>84.044502205368943</c:v>
                </c:pt>
                <c:pt idx="62">
                  <c:v>84.037605029113394</c:v>
                </c:pt>
                <c:pt idx="63">
                  <c:v>84.0304396330245</c:v>
                </c:pt>
                <c:pt idx="64">
                  <c:v>84.023005868201096</c:v>
                </c:pt>
                <c:pt idx="65">
                  <c:v>84.015303590528973</c:v>
                </c:pt>
                <c:pt idx="66">
                  <c:v>84.007332660687354</c:v>
                </c:pt>
                <c:pt idx="67">
                  <c:v>83.999092944155251</c:v>
                </c:pt>
                <c:pt idx="68">
                  <c:v>83.990584311217717</c:v>
                </c:pt>
                <c:pt idx="69">
                  <c:v>83.981806636971967</c:v>
                </c:pt>
                <c:pt idx="70">
                  <c:v>83.972759801333595</c:v>
                </c:pt>
                <c:pt idx="71">
                  <c:v>83.963443689042208</c:v>
                </c:pt>
                <c:pt idx="72">
                  <c:v>83.9469187536112</c:v>
                </c:pt>
                <c:pt idx="73">
                  <c:v>83.923174844907606</c:v>
                </c:pt>
                <c:pt idx="74">
                  <c:v>83.89914722370969</c:v>
                </c:pt>
                <c:pt idx="75">
                  <c:v>83.874835932472664</c:v>
                </c:pt>
                <c:pt idx="76">
                  <c:v>83.850241018904342</c:v>
                </c:pt>
                <c:pt idx="77">
                  <c:v>83.825362535965098</c:v>
                </c:pt>
                <c:pt idx="78">
                  <c:v>83.800200541867554</c:v>
                </c:pt>
                <c:pt idx="79">
                  <c:v>83.774755100076291</c:v>
                </c:pt>
                <c:pt idx="80">
                  <c:v>83.749026279307216</c:v>
                </c:pt>
                <c:pt idx="81">
                  <c:v>83.723014153526819</c:v>
                </c:pt>
                <c:pt idx="82">
                  <c:v>83.696718801951306</c:v>
                </c:pt>
                <c:pt idx="83">
                  <c:v>83.670140309045493</c:v>
                </c:pt>
                <c:pt idx="84">
                  <c:v>83.643278764521483</c:v>
                </c:pt>
                <c:pt idx="85">
                  <c:v>83.616134263337287</c:v>
                </c:pt>
                <c:pt idx="86">
                  <c:v>83.588706905695133</c:v>
                </c:pt>
                <c:pt idx="87">
                  <c:v>83.560996797039692</c:v>
                </c:pt>
                <c:pt idx="88">
                  <c:v>83.533004048056071</c:v>
                </c:pt>
                <c:pt idx="89">
                  <c:v>83.504728774667612</c:v>
                </c:pt>
                <c:pt idx="90">
                  <c:v>83.476171098033504</c:v>
                </c:pt>
                <c:pt idx="91">
                  <c:v>83.447331144546297</c:v>
                </c:pt>
                <c:pt idx="92">
                  <c:v>83.418209045829059</c:v>
                </c:pt>
                <c:pt idx="93">
                  <c:v>83.388804938732491</c:v>
                </c:pt>
                <c:pt idx="94">
                  <c:v>83.359118965331817</c:v>
                </c:pt>
                <c:pt idx="95">
                  <c:v>83.329151272923426</c:v>
                </c:pt>
                <c:pt idx="96">
                  <c:v>83.298902014021365</c:v>
                </c:pt>
                <c:pt idx="97">
                  <c:v>83.268371346353661</c:v>
                </c:pt>
                <c:pt idx="98">
                  <c:v>83.237559432858376</c:v>
                </c:pt>
                <c:pt idx="99">
                  <c:v>83.206466441679595</c:v>
                </c:pt>
                <c:pt idx="100">
                  <c:v>83.175092546163057</c:v>
                </c:pt>
                <c:pt idx="101">
                  <c:v>83.143437924851725</c:v>
                </c:pt>
                <c:pt idx="102">
                  <c:v>83.111502761481091</c:v>
                </c:pt>
                <c:pt idx="103">
                  <c:v>83.07928724497431</c:v>
                </c:pt>
                <c:pt idx="104">
                  <c:v>83.046791569437175</c:v>
                </c:pt>
                <c:pt idx="105">
                  <c:v>83.014015934152766</c:v>
                </c:pt>
                <c:pt idx="106">
                  <c:v>82.98096054357606</c:v>
                </c:pt>
                <c:pt idx="107">
                  <c:v>82.947625607328234</c:v>
                </c:pt>
                <c:pt idx="108">
                  <c:v>82.914011340190882</c:v>
                </c:pt>
                <c:pt idx="109">
                  <c:v>82.880117962099902</c:v>
                </c:pt>
                <c:pt idx="110">
                  <c:v>82.845945698139232</c:v>
                </c:pt>
                <c:pt idx="111">
                  <c:v>82.811494778534467</c:v>
                </c:pt>
                <c:pt idx="112">
                  <c:v>82.776765438646152</c:v>
                </c:pt>
                <c:pt idx="113">
                  <c:v>82.741757918963074</c:v>
                </c:pt>
                <c:pt idx="114">
                  <c:v>82.706472465095032</c:v>
                </c:pt>
                <c:pt idx="115">
                  <c:v>82.670909327765742</c:v>
                </c:pt>
                <c:pt idx="116">
                  <c:v>82.635068762805346</c:v>
                </c:pt>
                <c:pt idx="117">
                  <c:v>82.59895103114286</c:v>
                </c:pt>
                <c:pt idx="118">
                  <c:v>82.56255639879825</c:v>
                </c:pt>
                <c:pt idx="119">
                  <c:v>82.52588513687445</c:v>
                </c:pt>
                <c:pt idx="120">
                  <c:v>82.488937521549175</c:v>
                </c:pt>
                <c:pt idx="121">
                  <c:v>82.451713834066453</c:v>
                </c:pt>
                <c:pt idx="122">
                  <c:v>82.414214360728053</c:v>
                </c:pt>
                <c:pt idx="123">
                  <c:v>82.376439392884677</c:v>
                </c:pt>
                <c:pt idx="124">
                  <c:v>82.338389226926864</c:v>
                </c:pt>
                <c:pt idx="125">
                  <c:v>82.30006416427598</c:v>
                </c:pt>
                <c:pt idx="126">
                  <c:v>82.261464511374641</c:v>
                </c:pt>
                <c:pt idx="127">
                  <c:v>82.222590579677188</c:v>
                </c:pt>
                <c:pt idx="128">
                  <c:v>82.18344268563996</c:v>
                </c:pt>
                <c:pt idx="129">
                  <c:v>82.112028592150281</c:v>
                </c:pt>
                <c:pt idx="130">
                  <c:v>82.008309290817664</c:v>
                </c:pt>
                <c:pt idx="131">
                  <c:v>81.904265789960746</c:v>
                </c:pt>
                <c:pt idx="132">
                  <c:v>81.799899169183689</c:v>
                </c:pt>
                <c:pt idx="133">
                  <c:v>81.695210513574168</c:v>
                </c:pt>
                <c:pt idx="134">
                  <c:v>81.590200913659686</c:v>
                </c:pt>
                <c:pt idx="135">
                  <c:v>81.484871465363426</c:v>
                </c:pt>
                <c:pt idx="136">
                  <c:v>81.379223269960107</c:v>
                </c:pt>
                <c:pt idx="137">
                  <c:v>81.273257434031635</c:v>
                </c:pt>
                <c:pt idx="138">
                  <c:v>81.166975069422378</c:v>
                </c:pt>
                <c:pt idx="139">
                  <c:v>81.060377293194577</c:v>
                </c:pt>
                <c:pt idx="140">
                  <c:v>80.953465227583337</c:v>
                </c:pt>
                <c:pt idx="141">
                  <c:v>80.84623999995155</c:v>
                </c:pt>
                <c:pt idx="142">
                  <c:v>80.738702742744621</c:v>
                </c:pt>
                <c:pt idx="143">
                  <c:v>80.630854593445036</c:v>
                </c:pt>
                <c:pt idx="144">
                  <c:v>80.522696694526743</c:v>
                </c:pt>
                <c:pt idx="145">
                  <c:v>80.41423019340948</c:v>
                </c:pt>
                <c:pt idx="146">
                  <c:v>80.30545624241276</c:v>
                </c:pt>
                <c:pt idx="147">
                  <c:v>80.196375998709854</c:v>
                </c:pt>
                <c:pt idx="148">
                  <c:v>80.086990624281569</c:v>
                </c:pt>
                <c:pt idx="149">
                  <c:v>79.977301285869899</c:v>
                </c:pt>
                <c:pt idx="150">
                  <c:v>79.867309154931519</c:v>
                </c:pt>
                <c:pt idx="151">
                  <c:v>79.757015407591084</c:v>
                </c:pt>
                <c:pt idx="152">
                  <c:v>79.646421224594505</c:v>
                </c:pt>
                <c:pt idx="153">
                  <c:v>79.535527791261998</c:v>
                </c:pt>
                <c:pt idx="154">
                  <c:v>79.424336297441016</c:v>
                </c:pt>
                <c:pt idx="155">
                  <c:v>79.312847937459125</c:v>
                </c:pt>
                <c:pt idx="156">
                  <c:v>79.20106391007667</c:v>
                </c:pt>
                <c:pt idx="157">
                  <c:v>79.088985418439265</c:v>
                </c:pt>
                <c:pt idx="158">
                  <c:v>78.976613670030432</c:v>
                </c:pt>
                <c:pt idx="159">
                  <c:v>78.863949876623707</c:v>
                </c:pt>
                <c:pt idx="160">
                  <c:v>78.750995254235065</c:v>
                </c:pt>
                <c:pt idx="161">
                  <c:v>78.637751023074927</c:v>
                </c:pt>
                <c:pt idx="162">
                  <c:v>78.524218407500186</c:v>
                </c:pt>
                <c:pt idx="163">
                  <c:v>78.41039863596616</c:v>
                </c:pt>
                <c:pt idx="164">
                  <c:v>78.296292940978304</c:v>
                </c:pt>
                <c:pt idx="165">
                  <c:v>78.181902559043991</c:v>
                </c:pt>
                <c:pt idx="166">
                  <c:v>78.067228730624151</c:v>
                </c:pt>
                <c:pt idx="167">
                  <c:v>77.952272700084734</c:v>
                </c:pt>
                <c:pt idx="168">
                  <c:v>77.837035715648199</c:v>
                </c:pt>
                <c:pt idx="169">
                  <c:v>77.721519029344776</c:v>
                </c:pt>
                <c:pt idx="170">
                  <c:v>77.605723896963923</c:v>
                </c:pt>
                <c:pt idx="171">
                  <c:v>77.489651578005336</c:v>
                </c:pt>
                <c:pt idx="172">
                  <c:v>77.373303335630183</c:v>
                </c:pt>
                <c:pt idx="173">
                  <c:v>77.256680436612129</c:v>
                </c:pt>
                <c:pt idx="174">
                  <c:v>77.13978415128831</c:v>
                </c:pt>
                <c:pt idx="175">
                  <c:v>77.022615753510294</c:v>
                </c:pt>
                <c:pt idx="176">
                  <c:v>76.905176520594878</c:v>
                </c:pt>
                <c:pt idx="177">
                  <c:v>76.787467733274937</c:v>
                </c:pt>
                <c:pt idx="178">
                  <c:v>76.669490675650209</c:v>
                </c:pt>
                <c:pt idx="179">
                  <c:v>76.551246635137872</c:v>
                </c:pt>
                <c:pt idx="180">
                  <c:v>76.432736902423315</c:v>
                </c:pt>
                <c:pt idx="181">
                  <c:v>76.313962771410701</c:v>
                </c:pt>
                <c:pt idx="182">
                  <c:v>76.194925539173454</c:v>
                </c:pt>
                <c:pt idx="183">
                  <c:v>76.075626505904935</c:v>
                </c:pt>
                <c:pt idx="184">
                  <c:v>75.956066974868804</c:v>
                </c:pt>
                <c:pt idx="185">
                  <c:v>75.836248252349478</c:v>
                </c:pt>
                <c:pt idx="186">
                  <c:v>75.716171647602664</c:v>
                </c:pt>
                <c:pt idx="187">
                  <c:v>75.595838472805639</c:v>
                </c:pt>
                <c:pt idx="188">
                  <c:v>75.475250043007691</c:v>
                </c:pt>
                <c:pt idx="189">
                  <c:v>75.354407676080442</c:v>
                </c:pt>
                <c:pt idx="190">
                  <c:v>75.233312692668235</c:v>
                </c:pt>
                <c:pt idx="191">
                  <c:v>75.111966416138401</c:v>
                </c:pt>
                <c:pt idx="192">
                  <c:v>74.990370172531627</c:v>
                </c:pt>
                <c:pt idx="193">
                  <c:v>74.868525290512267</c:v>
                </c:pt>
                <c:pt idx="194">
                  <c:v>74.746433101318573</c:v>
                </c:pt>
                <c:pt idx="195">
                  <c:v>74.6240949387131</c:v>
                </c:pt>
                <c:pt idx="196">
                  <c:v>74.501512138932952</c:v>
                </c:pt>
                <c:pt idx="197">
                  <c:v>74.378686040640105</c:v>
                </c:pt>
                <c:pt idx="198">
                  <c:v>74.255617984871748</c:v>
                </c:pt>
                <c:pt idx="199">
                  <c:v>74.13230931499055</c:v>
                </c:pt>
                <c:pt idx="200">
                  <c:v>74.00876137663515</c:v>
                </c:pt>
                <c:pt idx="201">
                  <c:v>73.884975517670341</c:v>
                </c:pt>
                <c:pt idx="202">
                  <c:v>73.760953088137569</c:v>
                </c:pt>
                <c:pt idx="203">
                  <c:v>73.636695440205287</c:v>
                </c:pt>
                <c:pt idx="204">
                  <c:v>73.51220392811949</c:v>
                </c:pt>
                <c:pt idx="205">
                  <c:v>73.387479908153992</c:v>
                </c:pt>
                <c:pt idx="206">
                  <c:v>73.254722803447251</c:v>
                </c:pt>
                <c:pt idx="207">
                  <c:v>73.113927465422222</c:v>
                </c:pt>
                <c:pt idx="208">
                  <c:v>72.972896927661481</c:v>
                </c:pt>
                <c:pt idx="209">
                  <c:v>72.831632746730236</c:v>
                </c:pt>
                <c:pt idx="210">
                  <c:v>72.690136480598525</c:v>
                </c:pt>
                <c:pt idx="211">
                  <c:v>72.54840968858376</c:v>
                </c:pt>
                <c:pt idx="212">
                  <c:v>72.406453931293299</c:v>
                </c:pt>
                <c:pt idx="213">
                  <c:v>72.264270770567265</c:v>
                </c:pt>
                <c:pt idx="214">
                  <c:v>72.1218617694214</c:v>
                </c:pt>
                <c:pt idx="215">
                  <c:v>71.979228491989957</c:v>
                </c:pt>
                <c:pt idx="216">
                  <c:v>71.83637250346878</c:v>
                </c:pt>
                <c:pt idx="217">
                  <c:v>71.693295370058621</c:v>
                </c:pt>
                <c:pt idx="218">
                  <c:v>71.549998658908251</c:v>
                </c:pt>
                <c:pt idx="219">
                  <c:v>71.406483938058031</c:v>
                </c:pt>
                <c:pt idx="220">
                  <c:v>71.262752776383422</c:v>
                </c:pt>
                <c:pt idx="221">
                  <c:v>71.118806743538684</c:v>
                </c:pt>
                <c:pt idx="222">
                  <c:v>70.974647409900669</c:v>
                </c:pt>
                <c:pt idx="223">
                  <c:v>70.830276346512804</c:v>
                </c:pt>
                <c:pt idx="224">
                  <c:v>70.68569512502917</c:v>
                </c:pt>
                <c:pt idx="225">
                  <c:v>70.540905317658712</c:v>
                </c:pt>
                <c:pt idx="226">
                  <c:v>70.39590849710963</c:v>
                </c:pt>
                <c:pt idx="227">
                  <c:v>70.250706236533986</c:v>
                </c:pt>
                <c:pt idx="228">
                  <c:v>70.105300109472282</c:v>
                </c:pt>
                <c:pt idx="229">
                  <c:v>69.959691689798291</c:v>
                </c:pt>
                <c:pt idx="230">
                  <c:v>69.813882551664094</c:v>
                </c:pt>
                <c:pt idx="231">
                  <c:v>69.667874269445264</c:v>
                </c:pt>
                <c:pt idx="232">
                  <c:v>69.521668417686072</c:v>
                </c:pt>
                <c:pt idx="233">
                  <c:v>69.375266571045046</c:v>
                </c:pt>
                <c:pt idx="234">
                  <c:v>69.22867030424058</c:v>
                </c:pt>
                <c:pt idx="235">
                  <c:v>69.081881191996828</c:v>
                </c:pt>
                <c:pt idx="236">
                  <c:v>68.934900808989568</c:v>
                </c:pt>
                <c:pt idx="237">
                  <c:v>68.787730729792514</c:v>
                </c:pt>
                <c:pt idx="238">
                  <c:v>68.640372528823519</c:v>
                </c:pt>
                <c:pt idx="239">
                  <c:v>68.492827780291293</c:v>
                </c:pt>
                <c:pt idx="240">
                  <c:v>68.345098058141957</c:v>
                </c:pt>
                <c:pt idx="241">
                  <c:v>68.197184936006039</c:v>
                </c:pt>
                <c:pt idx="242">
                  <c:v>68.022106430532418</c:v>
                </c:pt>
                <c:pt idx="243">
                  <c:v>67.8198467941193</c:v>
                </c:pt>
                <c:pt idx="244">
                  <c:v>67.61739449227116</c:v>
                </c:pt>
                <c:pt idx="245">
                  <c:v>67.414751789628241</c:v>
                </c:pt>
                <c:pt idx="246">
                  <c:v>67.211920947920888</c:v>
                </c:pt>
                <c:pt idx="247">
                  <c:v>67.008904225890404</c:v>
                </c:pt>
                <c:pt idx="248">
                  <c:v>66.805703879209986</c:v>
                </c:pt>
                <c:pt idx="249">
                  <c:v>66.602322160406388</c:v>
                </c:pt>
                <c:pt idx="250">
                  <c:v>66.398761318781993</c:v>
                </c:pt>
                <c:pt idx="251">
                  <c:v>66.195023600337407</c:v>
                </c:pt>
                <c:pt idx="252">
                  <c:v>65.991111247694519</c:v>
                </c:pt>
                <c:pt idx="253">
                  <c:v>65.787026500020076</c:v>
                </c:pt>
                <c:pt idx="254">
                  <c:v>65.582771592949712</c:v>
                </c:pt>
                <c:pt idx="255">
                  <c:v>65.378348758512615</c:v>
                </c:pt>
                <c:pt idx="256">
                  <c:v>65.173760225056498</c:v>
                </c:pt>
                <c:pt idx="257">
                  <c:v>64.969008217173339</c:v>
                </c:pt>
                <c:pt idx="258">
                  <c:v>64.764094955625382</c:v>
                </c:pt>
                <c:pt idx="259">
                  <c:v>64.559022657271825</c:v>
                </c:pt>
                <c:pt idx="260">
                  <c:v>64.35379353499593</c:v>
                </c:pt>
                <c:pt idx="261">
                  <c:v>64.148409797632809</c:v>
                </c:pt>
                <c:pt idx="262">
                  <c:v>63.9428736498975</c:v>
                </c:pt>
                <c:pt idx="263">
                  <c:v>63.737187292313727</c:v>
                </c:pt>
                <c:pt idx="264">
                  <c:v>63.531352921143274</c:v>
                </c:pt>
                <c:pt idx="265">
                  <c:v>63.325372728315635</c:v>
                </c:pt>
                <c:pt idx="266">
                  <c:v>63.119248901358475</c:v>
                </c:pt>
                <c:pt idx="267">
                  <c:v>62.912983623328401</c:v>
                </c:pt>
                <c:pt idx="268">
                  <c:v>62.7065790727425</c:v>
                </c:pt>
                <c:pt idx="269">
                  <c:v>62.500037423510186</c:v>
                </c:pt>
                <c:pt idx="270">
                  <c:v>62.293360844865809</c:v>
                </c:pt>
                <c:pt idx="271">
                  <c:v>62.086551501301621</c:v>
                </c:pt>
                <c:pt idx="272">
                  <c:v>61.879611552501444</c:v>
                </c:pt>
                <c:pt idx="273">
                  <c:v>61.672543153274823</c:v>
                </c:pt>
                <c:pt idx="274">
                  <c:v>61.465348453491742</c:v>
                </c:pt>
                <c:pt idx="275">
                  <c:v>61.258029598017892</c:v>
                </c:pt>
                <c:pt idx="276">
                  <c:v>61.050588726650474</c:v>
                </c:pt>
                <c:pt idx="277">
                  <c:v>60.843027974054642</c:v>
                </c:pt>
                <c:pt idx="278">
                  <c:v>60.635349469700422</c:v>
                </c:pt>
                <c:pt idx="279">
                  <c:v>60.427555337800264</c:v>
                </c:pt>
                <c:pt idx="280">
                  <c:v>60.219647697247069</c:v>
                </c:pt>
                <c:pt idx="281">
                  <c:v>60.011628661552884</c:v>
                </c:pt>
                <c:pt idx="282">
                  <c:v>59.803500338788105</c:v>
                </c:pt>
                <c:pt idx="283">
                  <c:v>59.59526483152127</c:v>
                </c:pt>
                <c:pt idx="284">
                  <c:v>59.418620327302271</c:v>
                </c:pt>
                <c:pt idx="285">
                  <c:v>59.273581048700102</c:v>
                </c:pt>
                <c:pt idx="286">
                  <c:v>59.128442997494751</c:v>
                </c:pt>
                <c:pt idx="287">
                  <c:v>58.983207520886104</c:v>
                </c:pt>
                <c:pt idx="288">
                  <c:v>58.837875963660153</c:v>
                </c:pt>
                <c:pt idx="289">
                  <c:v>58.692449668154268</c:v>
                </c:pt>
                <c:pt idx="290">
                  <c:v>58.546929974222778</c:v>
                </c:pt>
                <c:pt idx="291">
                  <c:v>58.401318219202786</c:v>
                </c:pt>
                <c:pt idx="292">
                  <c:v>58.255615737880248</c:v>
                </c:pt>
                <c:pt idx="293">
                  <c:v>58.109823862456224</c:v>
                </c:pt>
                <c:pt idx="294">
                  <c:v>57.96394392251355</c:v>
                </c:pt>
                <c:pt idx="295">
                  <c:v>57.817977244983553</c:v>
                </c:pt>
                <c:pt idx="296">
                  <c:v>57.671925154113183</c:v>
                </c:pt>
                <c:pt idx="297">
                  <c:v>57.525788971432277</c:v>
                </c:pt>
                <c:pt idx="298">
                  <c:v>57.379570015721249</c:v>
                </c:pt>
                <c:pt idx="299">
                  <c:v>57.233269602978773</c:v>
                </c:pt>
                <c:pt idx="300">
                  <c:v>57.086889046390013</c:v>
                </c:pt>
                <c:pt idx="301">
                  <c:v>56.94042965629486</c:v>
                </c:pt>
                <c:pt idx="302">
                  <c:v>56.793892740156586</c:v>
                </c:pt>
                <c:pt idx="303">
                  <c:v>56.647279602530752</c:v>
                </c:pt>
                <c:pt idx="304">
                  <c:v>56.500591545034219</c:v>
                </c:pt>
                <c:pt idx="305">
                  <c:v>56.353829866314598</c:v>
                </c:pt>
                <c:pt idx="306">
                  <c:v>56.206995862019895</c:v>
                </c:pt>
                <c:pt idx="307">
                  <c:v>56.060090824768373</c:v>
                </c:pt>
                <c:pt idx="308">
                  <c:v>55.913116044118709</c:v>
                </c:pt>
                <c:pt idx="309">
                  <c:v>55.766072806540485</c:v>
                </c:pt>
                <c:pt idx="310">
                  <c:v>55.618962395384777</c:v>
                </c:pt>
                <c:pt idx="311">
                  <c:v>55.471786090855154</c:v>
                </c:pt>
                <c:pt idx="312">
                  <c:v>55.324545169978883</c:v>
                </c:pt>
                <c:pt idx="313">
                  <c:v>55.177240906578369</c:v>
                </c:pt>
                <c:pt idx="314">
                  <c:v>55.029874571242956</c:v>
                </c:pt>
                <c:pt idx="315">
                  <c:v>54.882447431300818</c:v>
                </c:pt>
                <c:pt idx="316">
                  <c:v>54.734960750791338</c:v>
                </c:pt>
                <c:pt idx="317">
                  <c:v>54.587415790437547</c:v>
                </c:pt>
                <c:pt idx="318">
                  <c:v>54.439813807618968</c:v>
                </c:pt>
                <c:pt idx="319">
                  <c:v>54.292156056344631</c:v>
                </c:pt>
                <c:pt idx="320">
                  <c:v>54.144443787226457</c:v>
                </c:pt>
                <c:pt idx="321">
                  <c:v>53.996678247452749</c:v>
                </c:pt>
                <c:pt idx="322">
                  <c:v>53.848860680762151</c:v>
                </c:pt>
                <c:pt idx="323">
                  <c:v>53.700992327417701</c:v>
                </c:pt>
                <c:pt idx="324">
                  <c:v>53.553074424181212</c:v>
                </c:pt>
                <c:pt idx="325">
                  <c:v>53.405108204288013</c:v>
                </c:pt>
                <c:pt idx="326">
                  <c:v>53.259042769868508</c:v>
                </c:pt>
                <c:pt idx="327">
                  <c:v>53.114879715366996</c:v>
                </c:pt>
                <c:pt idx="328">
                  <c:v>52.97067148447745</c:v>
                </c:pt>
                <c:pt idx="329">
                  <c:v>52.826419258605675</c:v>
                </c:pt>
                <c:pt idx="330">
                  <c:v>52.68212421570427</c:v>
                </c:pt>
                <c:pt idx="331">
                  <c:v>52.537787530249474</c:v>
                </c:pt>
                <c:pt idx="332">
                  <c:v>52.393410373218565</c:v>
                </c:pt>
                <c:pt idx="333">
                  <c:v>52.248993912067391</c:v>
                </c:pt>
                <c:pt idx="334">
                  <c:v>52.104539310708084</c:v>
                </c:pt>
                <c:pt idx="335">
                  <c:v>51.960047729487115</c:v>
                </c:pt>
                <c:pt idx="336">
                  <c:v>51.815520325163639</c:v>
                </c:pt>
                <c:pt idx="337">
                  <c:v>51.6709582508879</c:v>
                </c:pt>
                <c:pt idx="338">
                  <c:v>51.526362656180133</c:v>
                </c:pt>
                <c:pt idx="339">
                  <c:v>51.38173468690951</c:v>
                </c:pt>
                <c:pt idx="340">
                  <c:v>51.237075485273529</c:v>
                </c:pt>
                <c:pt idx="341">
                  <c:v>51.092386189777429</c:v>
                </c:pt>
                <c:pt idx="342">
                  <c:v>50.947667935214099</c:v>
                </c:pt>
                <c:pt idx="343">
                  <c:v>50.80292185264404</c:v>
                </c:pt>
                <c:pt idx="344">
                  <c:v>50.658149069375654</c:v>
                </c:pt>
                <c:pt idx="345">
                  <c:v>50.513350708945843</c:v>
                </c:pt>
                <c:pt idx="346">
                  <c:v>50.36852789110074</c:v>
                </c:pt>
                <c:pt idx="347">
                  <c:v>50.223681731776793</c:v>
                </c:pt>
                <c:pt idx="348">
                  <c:v>50.078813343082018</c:v>
                </c:pt>
                <c:pt idx="349">
                  <c:v>49.933923833277561</c:v>
                </c:pt>
                <c:pt idx="350">
                  <c:v>49.789014306759519</c:v>
                </c:pt>
                <c:pt idx="351">
                  <c:v>49.644085864040896</c:v>
                </c:pt>
                <c:pt idx="352">
                  <c:v>49.499139601733944</c:v>
                </c:pt>
                <c:pt idx="353">
                  <c:v>49.354176612532733</c:v>
                </c:pt>
                <c:pt idx="354">
                  <c:v>49.209197985195836</c:v>
                </c:pt>
                <c:pt idx="355">
                  <c:v>49.064204804529474</c:v>
                </c:pt>
                <c:pt idx="356">
                  <c:v>48.919198151370693</c:v>
                </c:pt>
                <c:pt idx="357">
                  <c:v>48.774179102570912</c:v>
                </c:pt>
                <c:pt idx="358">
                  <c:v>48.629148730979765</c:v>
                </c:pt>
                <c:pt idx="359">
                  <c:v>48.484108105429016</c:v>
                </c:pt>
                <c:pt idx="360">
                  <c:v>48.339058290716871</c:v>
                </c:pt>
                <c:pt idx="361">
                  <c:v>48.194000347592521</c:v>
                </c:pt>
                <c:pt idx="362">
                  <c:v>48.048935332740797</c:v>
                </c:pt>
                <c:pt idx="363">
                  <c:v>47.903864298767232</c:v>
                </c:pt>
                <c:pt idx="364">
                  <c:v>47.758788294183304</c:v>
                </c:pt>
                <c:pt idx="365">
                  <c:v>47.613708363391879</c:v>
                </c:pt>
                <c:pt idx="366">
                  <c:v>47.518018949132149</c:v>
                </c:pt>
                <c:pt idx="367">
                  <c:v>47.471721987483406</c:v>
                </c:pt>
                <c:pt idx="368">
                  <c:v>47.425395765298809</c:v>
                </c:pt>
                <c:pt idx="369">
                  <c:v>47.379040606333298</c:v>
                </c:pt>
                <c:pt idx="370">
                  <c:v>47.332656833950431</c:v>
                </c:pt>
                <c:pt idx="371">
                  <c:v>47.286244771117723</c:v>
                </c:pt>
                <c:pt idx="372">
                  <c:v>47.239804740401965</c:v>
                </c:pt>
                <c:pt idx="373">
                  <c:v>47.193337063964663</c:v>
                </c:pt>
                <c:pt idx="374">
                  <c:v>47.146842063557422</c:v>
                </c:pt>
                <c:pt idx="375">
                  <c:v>47.100320060517411</c:v>
                </c:pt>
                <c:pt idx="376">
                  <c:v>47.053771375762828</c:v>
                </c:pt>
                <c:pt idx="377">
                  <c:v>47.007196329788343</c:v>
                </c:pt>
                <c:pt idx="378">
                  <c:v>46.960595242660638</c:v>
                </c:pt>
                <c:pt idx="379">
                  <c:v>46.913968434013995</c:v>
                </c:pt>
                <c:pt idx="380">
                  <c:v>46.867316223045762</c:v>
                </c:pt>
                <c:pt idx="381">
                  <c:v>46.767323440647445</c:v>
                </c:pt>
                <c:pt idx="382">
                  <c:v>46.613991214894988</c:v>
                </c:pt>
                <c:pt idx="383">
                  <c:v>46.460668778096178</c:v>
                </c:pt>
                <c:pt idx="384">
                  <c:v>46.307357203951163</c:v>
                </c:pt>
                <c:pt idx="385">
                  <c:v>46.154057561397508</c:v>
                </c:pt>
                <c:pt idx="386">
                  <c:v>46.000770914598014</c:v>
                </c:pt>
                <c:pt idx="387">
                  <c:v>45.847498322928892</c:v>
                </c:pt>
                <c:pt idx="388">
                  <c:v>45.694240840968099</c:v>
                </c:pt>
                <c:pt idx="389">
                  <c:v>45.540999518484121</c:v>
                </c:pt>
                <c:pt idx="390">
                  <c:v>45.387775400424779</c:v>
                </c:pt>
                <c:pt idx="391">
                  <c:v>45.23456952690649</c:v>
                </c:pt>
                <c:pt idx="392">
                  <c:v>45.081382933203663</c:v>
                </c:pt>
                <c:pt idx="393">
                  <c:v>44.928216649738481</c:v>
                </c:pt>
                <c:pt idx="394">
                  <c:v>44.775071702070839</c:v>
                </c:pt>
                <c:pt idx="395">
                  <c:v>44.621949110888529</c:v>
                </c:pt>
                <c:pt idx="396">
                  <c:v>44.468849891997841</c:v>
                </c:pt>
                <c:pt idx="397">
                  <c:v>44.31577505631418</c:v>
                </c:pt>
                <c:pt idx="398">
                  <c:v>44.162725609853148</c:v>
                </c:pt>
                <c:pt idx="399">
                  <c:v>44.009702553721773</c:v>
                </c:pt>
                <c:pt idx="400">
                  <c:v>43.856706884110032</c:v>
                </c:pt>
                <c:pt idx="401">
                  <c:v>43.661888990178312</c:v>
                </c:pt>
                <c:pt idx="402">
                  <c:v>43.425254240327476</c:v>
                </c:pt>
                <c:pt idx="403">
                  <c:v>43.188683326215212</c:v>
                </c:pt>
                <c:pt idx="404">
                  <c:v>42.952178007872135</c:v>
                </c:pt>
                <c:pt idx="405">
                  <c:v>42.715740034367371</c:v>
                </c:pt>
                <c:pt idx="406">
                  <c:v>42.479371143796541</c:v>
                </c:pt>
                <c:pt idx="407">
                  <c:v>42.243073063270423</c:v>
                </c:pt>
                <c:pt idx="408">
                  <c:v>42.006847508904244</c:v>
                </c:pt>
                <c:pt idx="409">
                  <c:v>41.770696185807665</c:v>
                </c:pt>
                <c:pt idx="410">
                  <c:v>41.534620788075337</c:v>
                </c:pt>
                <c:pt idx="411">
                  <c:v>41.067635991979344</c:v>
                </c:pt>
                <c:pt idx="412">
                  <c:v>40.369783917028826</c:v>
                </c:pt>
                <c:pt idx="413">
                  <c:v>39.672226731182427</c:v>
                </c:pt>
                <c:pt idx="414">
                  <c:v>38.974973944096732</c:v>
                </c:pt>
                <c:pt idx="415">
                  <c:v>38.278034979533231</c:v>
                </c:pt>
                <c:pt idx="416">
                  <c:v>37.581419175215352</c:v>
                </c:pt>
                <c:pt idx="417">
                  <c:v>36.885135782695869</c:v>
                </c:pt>
                <c:pt idx="418">
                  <c:v>36.189193967234438</c:v>
                </c:pt>
                <c:pt idx="419">
                  <c:v>35.493602807685249</c:v>
                </c:pt>
                <c:pt idx="420">
                  <c:v>34.667105790881699</c:v>
                </c:pt>
                <c:pt idx="421">
                  <c:v>33.709754484623886</c:v>
                </c:pt>
                <c:pt idx="422">
                  <c:v>32.752934411775961</c:v>
                </c:pt>
                <c:pt idx="423">
                  <c:v>31.796661299201581</c:v>
                </c:pt>
                <c:pt idx="424">
                  <c:v>30.840950711266615</c:v>
                </c:pt>
                <c:pt idx="425">
                  <c:v>29.885818049578514</c:v>
                </c:pt>
                <c:pt idx="426">
                  <c:v>28.931278552749209</c:v>
                </c:pt>
                <c:pt idx="427">
                  <c:v>27.977347296181335</c:v>
                </c:pt>
                <c:pt idx="428">
                  <c:v>27.024039191877304</c:v>
                </c:pt>
                <c:pt idx="429">
                  <c:v>26.071368988271463</c:v>
                </c:pt>
                <c:pt idx="430">
                  <c:v>25.119351270084593</c:v>
                </c:pt>
                <c:pt idx="431">
                  <c:v>24.168000458200886</c:v>
                </c:pt>
                <c:pt idx="432">
                  <c:v>23.006064296399661</c:v>
                </c:pt>
                <c:pt idx="433">
                  <c:v>21.633678636752379</c:v>
                </c:pt>
                <c:pt idx="434">
                  <c:v>20.262333229941479</c:v>
                </c:pt>
                <c:pt idx="435">
                  <c:v>18.892056512119286</c:v>
                </c:pt>
                <c:pt idx="436">
                  <c:v>17.522876577744793</c:v>
                </c:pt>
                <c:pt idx="437">
                  <c:v>16.154821179049485</c:v>
                </c:pt>
                <c:pt idx="438">
                  <c:v>14.787917725565551</c:v>
                </c:pt>
                <c:pt idx="439">
                  <c:v>13.422193283715613</c:v>
                </c:pt>
                <c:pt idx="440">
                  <c:v>12.057674576463448</c:v>
                </c:pt>
                <c:pt idx="441">
                  <c:v>10.694387983024942</c:v>
                </c:pt>
                <c:pt idx="442">
                  <c:v>9.4605650050744377</c:v>
                </c:pt>
                <c:pt idx="443">
                  <c:v>8.3561217758131878</c:v>
                </c:pt>
                <c:pt idx="444">
                  <c:v>7.2527331620724862</c:v>
                </c:pt>
                <c:pt idx="445">
                  <c:v>6.1504152845239712</c:v>
                </c:pt>
                <c:pt idx="446">
                  <c:v>5.049184038261858</c:v>
                </c:pt>
                <c:pt idx="447">
                  <c:v>3.9490550930525794</c:v>
                </c:pt>
                <c:pt idx="448">
                  <c:v>2.8500438936129697</c:v>
                </c:pt>
                <c:pt idx="449">
                  <c:v>1.7521656599163813</c:v>
                </c:pt>
                <c:pt idx="450">
                  <c:v>0.65543538752648522</c:v>
                </c:pt>
                <c:pt idx="451">
                  <c:v>-0.44013215204188033</c:v>
                </c:pt>
                <c:pt idx="452">
                  <c:v>-1.5345224109350217</c:v>
                </c:pt>
                <c:pt idx="453">
                  <c:v>-2.4442529678320932</c:v>
                </c:pt>
                <c:pt idx="454">
                  <c:v>-3.1695075585116843</c:v>
                </c:pt>
                <c:pt idx="455">
                  <c:v>-3.8939649067646078</c:v>
                </c:pt>
                <c:pt idx="456">
                  <c:v>-4.6176198489496603</c:v>
                </c:pt>
                <c:pt idx="457">
                  <c:v>-5.3404673160221687</c:v>
                </c:pt>
                <c:pt idx="458">
                  <c:v>-6.0625023331758392</c:v>
                </c:pt>
                <c:pt idx="459">
                  <c:v>-6.7837200194790057</c:v>
                </c:pt>
                <c:pt idx="460">
                  <c:v>-7.5041155875054733</c:v>
                </c:pt>
                <c:pt idx="461">
                  <c:v>-8.0586277790265797</c:v>
                </c:pt>
                <c:pt idx="462">
                  <c:v>-8.4474455843639262</c:v>
                </c:pt>
                <c:pt idx="463">
                  <c:v>-8.8358274502636043</c:v>
                </c:pt>
                <c:pt idx="464">
                  <c:v>-9.2237728489862452</c:v>
                </c:pt>
                <c:pt idx="465">
                  <c:v>-9.6112812768684357</c:v>
                </c:pt>
                <c:pt idx="466">
                  <c:v>-10.136995015381231</c:v>
                </c:pt>
                <c:pt idx="467">
                  <c:v>-10.800746330758663</c:v>
                </c:pt>
                <c:pt idx="468">
                  <c:v>-13.007621575103494</c:v>
                </c:pt>
                <c:pt idx="469">
                  <c:v>-14.866304992050392</c:v>
                </c:pt>
                <c:pt idx="470">
                  <c:v>-14.833335181125879</c:v>
                </c:pt>
                <c:pt idx="471">
                  <c:v>-14.800452979956885</c:v>
                </c:pt>
                <c:pt idx="472">
                  <c:v>-14.767658081489557</c:v>
                </c:pt>
                <c:pt idx="473">
                  <c:v>-14.734950180034811</c:v>
                </c:pt>
                <c:pt idx="474">
                  <c:v>-14.702328971261045</c:v>
                </c:pt>
                <c:pt idx="475">
                  <c:v>-14.669794152186867</c:v>
                </c:pt>
                <c:pt idx="476">
                  <c:v>-14.637345421173874</c:v>
                </c:pt>
                <c:pt idx="477">
                  <c:v>-14.604982477919473</c:v>
                </c:pt>
                <c:pt idx="478">
                  <c:v>-14.572705023449776</c:v>
                </c:pt>
                <c:pt idx="479">
                  <c:v>-14.540512760112472</c:v>
                </c:pt>
                <c:pt idx="480">
                  <c:v>-14.508405391569839</c:v>
                </c:pt>
                <c:pt idx="481">
                  <c:v>-14.476382622791714</c:v>
                </c:pt>
                <c:pt idx="482">
                  <c:v>-14.444444160048542</c:v>
                </c:pt>
                <c:pt idx="483">
                  <c:v>-14.412589710904482</c:v>
                </c:pt>
                <c:pt idx="484">
                  <c:v>-14.380818984210524</c:v>
                </c:pt>
                <c:pt idx="485">
                  <c:v>-14.349131690097684</c:v>
                </c:pt>
                <c:pt idx="486">
                  <c:v>-14.317527539970214</c:v>
                </c:pt>
                <c:pt idx="487">
                  <c:v>-14.286006246498859</c:v>
                </c:pt>
                <c:pt idx="488">
                  <c:v>-14.254567523614154</c:v>
                </c:pt>
                <c:pt idx="489">
                  <c:v>-14.223211086499791</c:v>
                </c:pt>
                <c:pt idx="490">
                  <c:v>-14.191936651585985</c:v>
                </c:pt>
                <c:pt idx="491">
                  <c:v>-14.160743936542914</c:v>
                </c:pt>
                <c:pt idx="492">
                  <c:v>-14.129632660274147</c:v>
                </c:pt>
                <c:pt idx="493">
                  <c:v>-14.098602542910234</c:v>
                </c:pt>
                <c:pt idx="494">
                  <c:v>-14.067653305802159</c:v>
                </c:pt>
                <c:pt idx="495">
                  <c:v>-14.036784671514983</c:v>
                </c:pt>
                <c:pt idx="496">
                  <c:v>-14.005996363821463</c:v>
                </c:pt>
                <c:pt idx="497">
                  <c:v>-13.975288107695713</c:v>
                </c:pt>
                <c:pt idx="498">
                  <c:v>-13.944659629306884</c:v>
                </c:pt>
                <c:pt idx="499">
                  <c:v>-13.914110656012962</c:v>
                </c:pt>
                <c:pt idx="500">
                  <c:v>-13.883640916354508</c:v>
                </c:pt>
                <c:pt idx="501">
                  <c:v>-13.853250140048477</c:v>
                </c:pt>
                <c:pt idx="502">
                  <c:v>-13.552072399117163</c:v>
                </c:pt>
                <c:pt idx="503">
                  <c:v>-13.258597940719854</c:v>
                </c:pt>
                <c:pt idx="504">
                  <c:v>-12.97256949827413</c:v>
                </c:pt>
                <c:pt idx="505">
                  <c:v>-12.693740642163267</c:v>
                </c:pt>
                <c:pt idx="506">
                  <c:v>-12.421875233548272</c:v>
                </c:pt>
                <c:pt idx="507">
                  <c:v>-12.156746910204985</c:v>
                </c:pt>
                <c:pt idx="508">
                  <c:v>-11.898138602250068</c:v>
                </c:pt>
                <c:pt idx="509">
                  <c:v>-11.645842075779369</c:v>
                </c:pt>
                <c:pt idx="510">
                  <c:v>-11.399657502588193</c:v>
                </c:pt>
                <c:pt idx="511">
                  <c:v>-11.159393054277565</c:v>
                </c:pt>
                <c:pt idx="512">
                  <c:v>-10.924864519173811</c:v>
                </c:pt>
                <c:pt idx="513">
                  <c:v>-10.695894940602496</c:v>
                </c:pt>
                <c:pt idx="514">
                  <c:v>-10.472314275162061</c:v>
                </c:pt>
                <c:pt idx="515">
                  <c:v>-10.253959069738816</c:v>
                </c:pt>
                <c:pt idx="516">
                  <c:v>-10.040672156093486</c:v>
                </c:pt>
                <c:pt idx="517">
                  <c:v>-9.8323023619314078</c:v>
                </c:pt>
                <c:pt idx="518">
                  <c:v>-9.6287042374436869</c:v>
                </c:pt>
                <c:pt idx="519">
                  <c:v>-9.4297377963765445</c:v>
                </c:pt>
                <c:pt idx="520">
                  <c:v>-9.2352682707501454</c:v>
                </c:pt>
                <c:pt idx="521">
                  <c:v>-9.0451658784080475</c:v>
                </c:pt>
                <c:pt idx="522">
                  <c:v>-8.8593056026330483</c:v>
                </c:pt>
                <c:pt idx="523">
                  <c:v>-8.6775669831166145</c:v>
                </c:pt>
                <c:pt idx="524">
                  <c:v>-8.4998339176158062</c:v>
                </c:pt>
                <c:pt idx="525">
                  <c:v>-8.3259944736758307</c:v>
                </c:pt>
                <c:pt idx="526">
                  <c:v>-8.1559407098365018</c:v>
                </c:pt>
                <c:pt idx="527">
                  <c:v>-7.9895685057788048</c:v>
                </c:pt>
                <c:pt idx="528">
                  <c:v>-7.8267774009026168</c:v>
                </c:pt>
                <c:pt idx="529">
                  <c:v>-7.6674704408591046</c:v>
                </c:pt>
                <c:pt idx="530">
                  <c:v>-7.511554031591432</c:v>
                </c:pt>
                <c:pt idx="531">
                  <c:v>-7.3589378004656645</c:v>
                </c:pt>
                <c:pt idx="532">
                  <c:v>-7.2095344640995709</c:v>
                </c:pt>
                <c:pt idx="533">
                  <c:v>-7.0632597025216635</c:v>
                </c:pt>
                <c:pt idx="534">
                  <c:v>-6.9200320393151573</c:v>
                </c:pt>
                <c:pt idx="535">
                  <c:v>-6.7797727274228485</c:v>
                </c:pt>
                <c:pt idx="536">
                  <c:v>-6.6424056403084526</c:v>
                </c:pt>
                <c:pt idx="537">
                  <c:v>-6.507857168188373</c:v>
                </c:pt>
                <c:pt idx="538">
                  <c:v>-6.3760561190649181</c:v>
                </c:pt>
                <c:pt idx="539">
                  <c:v>-6.2469336243080962</c:v>
                </c:pt>
                <c:pt idx="540">
                  <c:v>-6.1204230485479032</c:v>
                </c:pt>
                <c:pt idx="541">
                  <c:v>-5.9964599036531645</c:v>
                </c:pt>
                <c:pt idx="542">
                  <c:v>-5.8749817665858419</c:v>
                </c:pt>
                <c:pt idx="543">
                  <c:v>-5.7559282009321535</c:v>
                </c:pt>
                <c:pt idx="544">
                  <c:v>-5.6392406819230994</c:v>
                </c:pt>
                <c:pt idx="545">
                  <c:v>-5.5248625247677925</c:v>
                </c:pt>
                <c:pt idx="546">
                  <c:v>-5.4127388161330234</c:v>
                </c:pt>
                <c:pt idx="547">
                  <c:v>-5.3028163486118283</c:v>
                </c:pt>
                <c:pt idx="548">
                  <c:v>-5.1950435580326975</c:v>
                </c:pt>
                <c:pt idx="549">
                  <c:v>-5.0893704634692734</c:v>
                </c:pt>
                <c:pt idx="550">
                  <c:v>-4.9857486098182315</c:v>
                </c:pt>
                <c:pt idx="551">
                  <c:v>-4.8841310128201831</c:v>
                </c:pt>
                <c:pt idx="552">
                  <c:v>-4.7844721064054259</c:v>
                </c:pt>
                <c:pt idx="553">
                  <c:v>-4.6867276922526653</c:v>
                </c:pt>
                <c:pt idx="554">
                  <c:v>-4.5908548914549314</c:v>
                </c:pt>
                <c:pt idx="555">
                  <c:v>-4.4968120981926241</c:v>
                </c:pt>
                <c:pt idx="556">
                  <c:v>-4.4045589353188319</c:v>
                </c:pt>
                <c:pt idx="557">
                  <c:v>-4.3140562117672712</c:v>
                </c:pt>
                <c:pt idx="558">
                  <c:v>-4.2252658816977391</c:v>
                </c:pt>
                <c:pt idx="559">
                  <c:v>-4.1381510052985941</c:v>
                </c:pt>
                <c:pt idx="560">
                  <c:v>-4.0526757111698508</c:v>
                </c:pt>
                <c:pt idx="561">
                  <c:v>-3.9688051602144534</c:v>
                </c:pt>
                <c:pt idx="562">
                  <c:v>-3.8865055109691147</c:v>
                </c:pt>
                <c:pt idx="563">
                  <c:v>-3.8057438863094482</c:v>
                </c:pt>
                <c:pt idx="564">
                  <c:v>-3.7264883414676118</c:v>
                </c:pt>
                <c:pt idx="565">
                  <c:v>-3.6487078333036975</c:v>
                </c:pt>
                <c:pt idx="566">
                  <c:v>-3.572372190775067</c:v>
                </c:pt>
                <c:pt idx="567">
                  <c:v>-3.4974520865507128</c:v>
                </c:pt>
                <c:pt idx="568">
                  <c:v>-3.4239190097201906</c:v>
                </c:pt>
                <c:pt idx="569">
                  <c:v>-3.3517452395493614</c:v>
                </c:pt>
                <c:pt idx="570">
                  <c:v>-3.2809038202373371</c:v>
                </c:pt>
                <c:pt idx="571">
                  <c:v>-3.2113685366314173</c:v>
                </c:pt>
                <c:pt idx="572">
                  <c:v>-3.143113890858769</c:v>
                </c:pt>
                <c:pt idx="573">
                  <c:v>-3.0761150798357089</c:v>
                </c:pt>
                <c:pt idx="574">
                  <c:v>-3.0103479736172347</c:v>
                </c:pt>
                <c:pt idx="575">
                  <c:v>-2.9457890945513157</c:v>
                </c:pt>
                <c:pt idx="576">
                  <c:v>-2.8824155972040879</c:v>
                </c:pt>
                <c:pt idx="577">
                  <c:v>-2.8202052490237079</c:v>
                </c:pt>
                <c:pt idx="578">
                  <c:v>-2.7591364117121744</c:v>
                </c:pt>
                <c:pt idx="579">
                  <c:v>-2.6991880232758079</c:v>
                </c:pt>
                <c:pt idx="580">
                  <c:v>-2.6403395807264745</c:v>
                </c:pt>
                <c:pt idx="581">
                  <c:v>-2.5825711234069408</c:v>
                </c:pt>
                <c:pt idx="582">
                  <c:v>-2.5258632169149222</c:v>
                </c:pt>
                <c:pt idx="583">
                  <c:v>-2.4701969376016253</c:v>
                </c:pt>
                <c:pt idx="584">
                  <c:v>-2.4155538576216165</c:v>
                </c:pt>
                <c:pt idx="585">
                  <c:v>-2.3619160305119347</c:v>
                </c:pt>
                <c:pt idx="586">
                  <c:v>-2.3092659772793649</c:v>
                </c:pt>
                <c:pt idx="587">
                  <c:v>-2.2575866729757021</c:v>
                </c:pt>
                <c:pt idx="588">
                  <c:v>-2.2068615337417774</c:v>
                </c:pt>
                <c:pt idx="589">
                  <c:v>-2.1570744043018202</c:v>
                </c:pt>
                <c:pt idx="590">
                  <c:v>-2.1082095458905883</c:v>
                </c:pt>
                <c:pt idx="591">
                  <c:v>-2.0602516245964386</c:v>
                </c:pt>
                <c:pt idx="592">
                  <c:v>-2.0131857001042399</c:v>
                </c:pt>
                <c:pt idx="593">
                  <c:v>-1.966997214822769</c:v>
                </c:pt>
                <c:pt idx="594">
                  <c:v>-1.9216719833818199</c:v>
                </c:pt>
                <c:pt idx="595">
                  <c:v>-1.8771961824849712</c:v>
                </c:pt>
                <c:pt idx="596">
                  <c:v>-1.8335563411044815</c:v>
                </c:pt>
                <c:pt idx="597">
                  <c:v>-1.7907393310053989</c:v>
                </c:pt>
                <c:pt idx="598">
                  <c:v>-1.748732357586499</c:v>
                </c:pt>
                <c:pt idx="599">
                  <c:v>-1.7075229510261876</c:v>
                </c:pt>
                <c:pt idx="600">
                  <c:v>-1.6670989577219719</c:v>
                </c:pt>
                <c:pt idx="601">
                  <c:v>-1.6274485320126206</c:v>
                </c:pt>
                <c:pt idx="602">
                  <c:v>-1.5885601281725248</c:v>
                </c:pt>
                <c:pt idx="603">
                  <c:v>-1.5504224926682304</c:v>
                </c:pt>
                <c:pt idx="604">
                  <c:v>-1.5130246566675105</c:v>
                </c:pt>
                <c:pt idx="605">
                  <c:v>-1.4763559287917167</c:v>
                </c:pt>
                <c:pt idx="606">
                  <c:v>-1.4404058881025228</c:v>
                </c:pt>
                <c:pt idx="607">
                  <c:v>-1.4051643773145277</c:v>
                </c:pt>
                <c:pt idx="608">
                  <c:v>-1.3706214962255094</c:v>
                </c:pt>
                <c:pt idx="609">
                  <c:v>-1.3367675953564213</c:v>
                </c:pt>
                <c:pt idx="610">
                  <c:v>-1.3035932697935524</c:v>
                </c:pt>
                <c:pt idx="611">
                  <c:v>-1.2710893532255263</c:v>
                </c:pt>
                <c:pt idx="612">
                  <c:v>-1.239246912168102</c:v>
                </c:pt>
                <c:pt idx="613">
                  <c:v>-1.2080572403699814</c:v>
                </c:pt>
                <c:pt idx="614">
                  <c:v>-1.1775118533930937</c:v>
                </c:pt>
                <c:pt idx="615">
                  <c:v>-1.1476024833610154</c:v>
                </c:pt>
                <c:pt idx="616">
                  <c:v>-1.1183210738694507</c:v>
                </c:pt>
                <c:pt idx="617">
                  <c:v>-1.089659775052864</c:v>
                </c:pt>
                <c:pt idx="618">
                  <c:v>-1.0616109388015693</c:v>
                </c:pt>
                <c:pt idx="619">
                  <c:v>-1.0341671141237516</c:v>
                </c:pt>
                <c:pt idx="620">
                  <c:v>-1.0073210426470869</c:v>
                </c:pt>
                <c:pt idx="621">
                  <c:v>-0.98106565425475301</c:v>
                </c:pt>
                <c:pt idx="622">
                  <c:v>-0.95539406285082074</c:v>
                </c:pt>
                <c:pt idx="623">
                  <c:v>-0.9302995622501038</c:v>
                </c:pt>
                <c:pt idx="624">
                  <c:v>-0.90577562218771879</c:v>
                </c:pt>
                <c:pt idx="625">
                  <c:v>-0.88181588444370185</c:v>
                </c:pt>
                <c:pt idx="626">
                  <c:v>-0.85841415907815488</c:v>
                </c:pt>
                <c:pt idx="627">
                  <c:v>-0.83556442077247406</c:v>
                </c:pt>
                <c:pt idx="628">
                  <c:v>-0.81326080527233624</c:v>
                </c:pt>
                <c:pt idx="629">
                  <c:v>-0.79149760592817264</c:v>
                </c:pt>
                <c:pt idx="630">
                  <c:v>-0.77026927032895331</c:v>
                </c:pt>
                <c:pt idx="631">
                  <c:v>-0.7495703970251606</c:v>
                </c:pt>
                <c:pt idx="632">
                  <c:v>-0.7293957323368877</c:v>
                </c:pt>
                <c:pt idx="633">
                  <c:v>-0.709740167243056</c:v>
                </c:pt>
                <c:pt idx="634">
                  <c:v>-0.69059873434776609</c:v>
                </c:pt>
                <c:pt idx="635">
                  <c:v>-0.6719666049198515</c:v>
                </c:pt>
                <c:pt idx="636">
                  <c:v>-0.65383908600170548</c:v>
                </c:pt>
                <c:pt idx="637">
                  <c:v>-0.63621161758348665</c:v>
                </c:pt>
                <c:pt idx="638">
                  <c:v>-0.61907976983880975</c:v>
                </c:pt>
                <c:pt idx="639">
                  <c:v>-0.60243924041802333</c:v>
                </c:pt>
                <c:pt idx="640">
                  <c:v>-0.58628585179519099</c:v>
                </c:pt>
                <c:pt idx="641">
                  <c:v>-0.5706155486648693</c:v>
                </c:pt>
                <c:pt idx="642">
                  <c:v>-0.55542439538476474</c:v>
                </c:pt>
                <c:pt idx="643">
                  <c:v>-0.54070857346033951</c:v>
                </c:pt>
                <c:pt idx="644">
                  <c:v>-0.52646437906741839</c:v>
                </c:pt>
                <c:pt idx="645">
                  <c:v>-0.51268822060881758</c:v>
                </c:pt>
                <c:pt idx="646">
                  <c:v>-0.49937661630101249</c:v>
                </c:pt>
                <c:pt idx="647">
                  <c:v>-0.48652619178683398</c:v>
                </c:pt>
                <c:pt idx="648">
                  <c:v>-0.47413367777017373</c:v>
                </c:pt>
                <c:pt idx="649">
                  <c:v>-0.46219590766867324</c:v>
                </c:pt>
                <c:pt idx="650">
                  <c:v>-0.45070981528037674</c:v>
                </c:pt>
                <c:pt idx="651">
                  <c:v>-0.43967243246034449</c:v>
                </c:pt>
                <c:pt idx="652">
                  <c:v>-0.42908088680325301</c:v>
                </c:pt>
                <c:pt idx="653">
                  <c:v>-0.41893239932806087</c:v>
                </c:pt>
                <c:pt idx="654">
                  <c:v>-0.40922428216089601</c:v>
                </c:pt>
                <c:pt idx="655">
                  <c:v>-0.3999539362124141</c:v>
                </c:pt>
                <c:pt idx="656">
                  <c:v>-0.39111884884601505</c:v>
                </c:pt>
                <c:pt idx="657">
                  <c:v>-0.38271659153345933</c:v>
                </c:pt>
                <c:pt idx="658">
                  <c:v>-0.37474481749463867</c:v>
                </c:pt>
                <c:pt idx="659">
                  <c:v>-0.36720125931849085</c:v>
                </c:pt>
                <c:pt idx="660">
                  <c:v>-0.36008372656233112</c:v>
                </c:pt>
                <c:pt idx="661">
                  <c:v>-0.3533901033272171</c:v>
                </c:pt>
                <c:pt idx="662">
                  <c:v>-0.34711834580733125</c:v>
                </c:pt>
                <c:pt idx="663">
                  <c:v>-0.34126647981179681</c:v>
                </c:pt>
                <c:pt idx="664">
                  <c:v>-0.33583259825781803</c:v>
                </c:pt>
                <c:pt idx="665">
                  <c:v>-0.33081485863455284</c:v>
                </c:pt>
                <c:pt idx="666">
                  <c:v>-0.32621148043768328</c:v>
                </c:pt>
                <c:pt idx="667">
                  <c:v>-0.32202074257524677</c:v>
                </c:pt>
                <c:pt idx="668">
                  <c:v>-0.31824098074590945</c:v>
                </c:pt>
                <c:pt idx="669">
                  <c:v>-0.31487058479150809</c:v>
                </c:pt>
                <c:pt idx="670">
                  <c:v>-0.31190799602633179</c:v>
                </c:pt>
                <c:pt idx="671">
                  <c:v>-0.30935170454626698</c:v>
                </c:pt>
                <c:pt idx="672">
                  <c:v>-0.30720024652155203</c:v>
                </c:pt>
                <c:pt idx="673">
                  <c:v>-0.30545220147749469</c:v>
                </c:pt>
                <c:pt idx="674">
                  <c:v>-0.30410618956805763</c:v>
                </c:pt>
                <c:pt idx="675">
                  <c:v>-0.30316086884771737</c:v>
                </c:pt>
                <c:pt idx="676">
                  <c:v>-0.30261493254743338</c:v>
                </c:pt>
                <c:pt idx="677">
                  <c:v>-0.30246710636091084</c:v>
                </c:pt>
                <c:pt idx="678">
                  <c:v>-0.30271614574759764</c:v>
                </c:pt>
                <c:pt idx="679">
                  <c:v>-0.30336083325902152</c:v>
                </c:pt>
                <c:pt idx="680">
                  <c:v>-0.30439997589512707</c:v>
                </c:pt>
                <c:pt idx="681">
                  <c:v>-0.30583240249723526</c:v>
                </c:pt>
                <c:pt idx="682">
                  <c:v>-0.30765696118410035</c:v>
                </c:pt>
                <c:pt idx="683">
                  <c:v>-0.30987251683729877</c:v>
                </c:pt>
                <c:pt idx="684">
                  <c:v>-0.31247794864185857</c:v>
                </c:pt>
                <c:pt idx="685">
                  <c:v>-0.31547214768762738</c:v>
                </c:pt>
                <c:pt idx="686">
                  <c:v>-0.31885401463639568</c:v>
                </c:pt>
                <c:pt idx="687">
                  <c:v>-0.32262245745927315</c:v>
                </c:pt>
                <c:pt idx="688">
                  <c:v>-0.32677638924822838</c:v>
                </c:pt>
                <c:pt idx="689">
                  <c:v>-0.33131472610511359</c:v>
                </c:pt>
                <c:pt idx="690">
                  <c:v>-0.33623638511087672</c:v>
                </c:pt>
                <c:pt idx="691">
                  <c:v>-0.34154028237705236</c:v>
                </c:pt>
                <c:pt idx="692">
                  <c:v>-0.34722533118101767</c:v>
                </c:pt>
                <c:pt idx="693">
                  <c:v>-0.3532904401859232</c:v>
                </c:pt>
                <c:pt idx="694">
                  <c:v>-0.3597345117456523</c:v>
                </c:pt>
                <c:pt idx="695">
                  <c:v>-0.36655644029465739</c:v>
                </c:pt>
                <c:pt idx="696">
                  <c:v>-0.3737551108220456</c:v>
                </c:pt>
                <c:pt idx="697">
                  <c:v>-0.38132939742887118</c:v>
                </c:pt>
                <c:pt idx="698">
                  <c:v>-0.38927816196721127</c:v>
                </c:pt>
                <c:pt idx="699">
                  <c:v>-0.39760025275928651</c:v>
                </c:pt>
                <c:pt idx="700">
                  <c:v>-0.40629450339460443</c:v>
                </c:pt>
                <c:pt idx="701">
                  <c:v>-0.41535973160288636</c:v>
                </c:pt>
                <c:pt idx="702">
                  <c:v>-0.42479473820034963</c:v>
                </c:pt>
                <c:pt idx="703">
                  <c:v>-0.43459830610678324</c:v>
                </c:pt>
                <c:pt idx="704">
                  <c:v>-0.44476919943074966</c:v>
                </c:pt>
                <c:pt idx="705">
                  <c:v>-0.45530616262018625</c:v>
                </c:pt>
                <c:pt idx="706">
                  <c:v>-0.46620791967564168</c:v>
                </c:pt>
                <c:pt idx="707">
                  <c:v>-0.47747317342337858</c:v>
                </c:pt>
                <c:pt idx="708">
                  <c:v>-0.48910060484558898</c:v>
                </c:pt>
                <c:pt idx="709">
                  <c:v>-0.5010888724650131</c:v>
                </c:pt>
                <c:pt idx="710">
                  <c:v>-0.51343661178129618</c:v>
                </c:pt>
                <c:pt idx="711">
                  <c:v>-0.5261424347564978</c:v>
                </c:pt>
                <c:pt idx="712">
                  <c:v>-0.53920492934723974</c:v>
                </c:pt>
                <c:pt idx="713">
                  <c:v>-0.55262265908107111</c:v>
                </c:pt>
                <c:pt idx="714">
                  <c:v>-0.56639416267471809</c:v>
                </c:pt>
                <c:pt idx="715">
                  <c:v>-0.58051795369199177</c:v>
                </c:pt>
                <c:pt idx="716">
                  <c:v>-0.59499252023922267</c:v>
                </c:pt>
                <c:pt idx="717">
                  <c:v>-0.60981632469618907</c:v>
                </c:pt>
                <c:pt idx="718">
                  <c:v>-0.62498780348062566</c:v>
                </c:pt>
                <c:pt idx="719">
                  <c:v>-0.64050536684447179</c:v>
                </c:pt>
                <c:pt idx="720">
                  <c:v>-0.65636739870014915</c:v>
                </c:pt>
                <c:pt idx="721">
                  <c:v>-0.67257225647522645</c:v>
                </c:pt>
                <c:pt idx="722">
                  <c:v>-0.68911827099394629</c:v>
                </c:pt>
                <c:pt idx="723">
                  <c:v>-0.70600374638416064</c:v>
                </c:pt>
                <c:pt idx="724">
                  <c:v>-0.72322696000832087</c:v>
                </c:pt>
                <c:pt idx="725">
                  <c:v>-0.74078616241723882</c:v>
                </c:pt>
                <c:pt idx="726">
                  <c:v>-0.75867957732543378</c:v>
                </c:pt>
                <c:pt idx="727">
                  <c:v>-0.77690540160692656</c:v>
                </c:pt>
                <c:pt idx="728">
                  <c:v>-0.79546180531043398</c:v>
                </c:pt>
                <c:pt idx="729">
                  <c:v>-0.81434693169298278</c:v>
                </c:pt>
                <c:pt idx="730">
                  <c:v>-0.83355889727100496</c:v>
                </c:pt>
                <c:pt idx="731">
                  <c:v>-0.85309579188806561</c:v>
                </c:pt>
                <c:pt idx="732">
                  <c:v>-0.87295567879839764</c:v>
                </c:pt>
                <c:pt idx="733">
                  <c:v>-0.89313659476549545</c:v>
                </c:pt>
                <c:pt idx="734">
                  <c:v>-0.91363655017505407</c:v>
                </c:pt>
                <c:pt idx="735">
                  <c:v>-0.9344535291615842</c:v>
                </c:pt>
                <c:pt idx="736">
                  <c:v>-0.95558548974809054</c:v>
                </c:pt>
                <c:pt idx="737">
                  <c:v>-0.97703036399821497</c:v>
                </c:pt>
                <c:pt idx="738">
                  <c:v>-0.99878605818031274</c:v>
                </c:pt>
                <c:pt idx="739">
                  <c:v>-1.0208504529429356</c:v>
                </c:pt>
                <c:pt idx="740">
                  <c:v>-1.0432214035012479</c:v>
                </c:pt>
                <c:pt idx="741">
                  <c:v>-1.0658967398339165</c:v>
                </c:pt>
                <c:pt idx="742">
                  <c:v>-1.0888742668900566</c:v>
                </c:pt>
                <c:pt idx="743">
                  <c:v>-1.112151764805825</c:v>
                </c:pt>
                <c:pt idx="744">
                  <c:v>-1.1357269891302877</c:v>
                </c:pt>
                <c:pt idx="745">
                  <c:v>-1.1595976710602112</c:v>
                </c:pt>
                <c:pt idx="746">
                  <c:v>-1.1837615176834291</c:v>
                </c:pt>
                <c:pt idx="747">
                  <c:v>-1.2082162122304789</c:v>
                </c:pt>
                <c:pt idx="748">
                  <c:v>-1.2329594143342057</c:v>
                </c:pt>
                <c:pt idx="749">
                  <c:v>-1.2579887602970434</c:v>
                </c:pt>
                <c:pt idx="750">
                  <c:v>-1.2833018633657134</c:v>
                </c:pt>
                <c:pt idx="751">
                  <c:v>-1.308896314013074</c:v>
                </c:pt>
                <c:pt idx="752">
                  <c:v>-1.3347696802268858</c:v>
                </c:pt>
                <c:pt idx="753">
                  <c:v>-1.3609195078052543</c:v>
                </c:pt>
                <c:pt idx="754">
                  <c:v>-1.3873433206585328</c:v>
                </c:pt>
                <c:pt idx="755">
                  <c:v>-1.4140386211174705</c:v>
                </c:pt>
                <c:pt idx="756">
                  <c:v>-1.4410028902473997</c:v>
                </c:pt>
                <c:pt idx="757">
                  <c:v>-1.4682335881682786</c:v>
                </c:pt>
                <c:pt idx="758">
                  <c:v>-1.4957281543803858</c:v>
                </c:pt>
                <c:pt idx="759">
                  <c:v>-1.5234840080955052</c:v>
                </c:pt>
                <c:pt idx="760">
                  <c:v>-1.5514985485734052</c:v>
                </c:pt>
                <c:pt idx="761">
                  <c:v>-1.5797691554634661</c:v>
                </c:pt>
                <c:pt idx="762">
                  <c:v>-1.6082931891512717</c:v>
                </c:pt>
                <c:pt idx="763">
                  <c:v>-1.6370679911100341</c:v>
                </c:pt>
                <c:pt idx="764">
                  <c:v>-1.6660908842566602</c:v>
                </c:pt>
                <c:pt idx="765">
                  <c:v>-1.6953591733123536</c:v>
                </c:pt>
                <c:pt idx="766">
                  <c:v>-1.7248701451675679</c:v>
                </c:pt>
                <c:pt idx="767">
                  <c:v>-1.754621069251195</c:v>
                </c:pt>
                <c:pt idx="768">
                  <c:v>-1.7846091979038419</c:v>
                </c:pt>
                <c:pt idx="769">
                  <c:v>-1.8148317667550486</c:v>
                </c:pt>
                <c:pt idx="770">
                  <c:v>-1.8452859951043297</c:v>
                </c:pt>
                <c:pt idx="771">
                  <c:v>-1.8759690863059006</c:v>
                </c:pt>
                <c:pt idx="772">
                  <c:v>-1.906878228156953</c:v>
                </c:pt>
                <c:pt idx="773">
                  <c:v>-1.9380105932893676</c:v>
                </c:pt>
                <c:pt idx="774">
                  <c:v>-1.969363339564719</c:v>
                </c:pt>
                <c:pt idx="775">
                  <c:v>-2.0009336104724658</c:v>
                </c:pt>
                <c:pt idx="776">
                  <c:v>-2.0327185355311914</c:v>
                </c:pt>
                <c:pt idx="777">
                  <c:v>-2.0647152306927707</c:v>
                </c:pt>
                <c:pt idx="778">
                  <c:v>-2.0969207987493692</c:v>
                </c:pt>
                <c:pt idx="779">
                  <c:v>-2.1293323297431068</c:v>
                </c:pt>
                <c:pt idx="780">
                  <c:v>-2.161946901378315</c:v>
                </c:pt>
                <c:pt idx="781">
                  <c:v>-2.194761579436241</c:v>
                </c:pt>
                <c:pt idx="782">
                  <c:v>-2.2277734181920907</c:v>
                </c:pt>
                <c:pt idx="783">
                  <c:v>-2.2609794608342897</c:v>
                </c:pt>
                <c:pt idx="784">
                  <c:v>-2.2943767398858497</c:v>
                </c:pt>
                <c:pt idx="785">
                  <c:v>-2.3279622776277265</c:v>
                </c:pt>
                <c:pt idx="786">
                  <c:v>-2.3617330865240418</c:v>
                </c:pt>
                <c:pt idx="787">
                  <c:v>-2.3956861696490743</c:v>
                </c:pt>
                <c:pt idx="788">
                  <c:v>-2.4298185211158758</c:v>
                </c:pt>
                <c:pt idx="789">
                  <c:v>-2.464127126506432</c:v>
                </c:pt>
                <c:pt idx="790">
                  <c:v>-2.4986089633032247</c:v>
                </c:pt>
                <c:pt idx="791">
                  <c:v>-2.5332610013220949</c:v>
                </c:pt>
                <c:pt idx="792">
                  <c:v>-2.5680802031462941</c:v>
                </c:pt>
                <c:pt idx="793">
                  <c:v>-2.6030635245615974</c:v>
                </c:pt>
                <c:pt idx="794">
                  <c:v>-2.6382079149923823</c:v>
                </c:pt>
                <c:pt idx="795">
                  <c:v>-2.6735103179385376</c:v>
                </c:pt>
                <c:pt idx="796">
                  <c:v>-2.7089676714131188</c:v>
                </c:pt>
                <c:pt idx="797">
                  <c:v>-2.7445769083805973</c:v>
                </c:pt>
                <c:pt idx="798">
                  <c:v>-2.7803349571956244</c:v>
                </c:pt>
                <c:pt idx="799">
                  <c:v>-2.8162387420421839</c:v>
                </c:pt>
                <c:pt idx="800">
                  <c:v>-2.8522851833730121</c:v>
                </c:pt>
                <c:pt idx="801">
                  <c:v>-2.8884711983491873</c:v>
                </c:pt>
                <c:pt idx="802">
                  <c:v>-2.9247937012797558</c:v>
                </c:pt>
                <c:pt idx="803">
                  <c:v>-2.9612496040613117</c:v>
                </c:pt>
                <c:pt idx="804">
                  <c:v>-2.9978358166173815</c:v>
                </c:pt>
                <c:pt idx="805">
                  <c:v>-3.0345492473375346</c:v>
                </c:pt>
                <c:pt idx="806">
                  <c:v>-3.0713868035160861</c:v>
                </c:pt>
                <c:pt idx="807">
                  <c:v>-3.1083453917902788</c:v>
                </c:pt>
                <c:pt idx="808">
                  <c:v>-3.1454219185778518</c:v>
                </c:pt>
                <c:pt idx="809">
                  <c:v>-3.1826132905138738</c:v>
                </c:pt>
                <c:pt idx="810">
                  <c:v>-3.2199164148867094</c:v>
                </c:pt>
                <c:pt idx="811">
                  <c:v>-3.2573282000730495</c:v>
                </c:pt>
                <c:pt idx="812">
                  <c:v>-3.2948455559718601</c:v>
                </c:pt>
                <c:pt idx="813">
                  <c:v>-3.3324653944371607</c:v>
                </c:pt>
                <c:pt idx="814">
                  <c:v>-3.3701846297095011</c:v>
                </c:pt>
                <c:pt idx="815">
                  <c:v>-3.408000178846053</c:v>
                </c:pt>
                <c:pt idx="816">
                  <c:v>-3.4459089621491881</c:v>
                </c:pt>
                <c:pt idx="817">
                  <c:v>-3.4839079035934546</c:v>
                </c:pt>
                <c:pt idx="818">
                  <c:v>-3.5219939312508086</c:v>
                </c:pt>
                <c:pt idx="819">
                  <c:v>-3.5601639777140424</c:v>
                </c:pt>
                <c:pt idx="820">
                  <c:v>-3.5984149805182652</c:v>
                </c:pt>
                <c:pt idx="821">
                  <c:v>-3.6367438825603422</c:v>
                </c:pt>
                <c:pt idx="822">
                  <c:v>-3.6751476325161998</c:v>
                </c:pt>
                <c:pt idx="823">
                  <c:v>-3.7136231852558708</c:v>
                </c:pt>
                <c:pt idx="824">
                  <c:v>-3.7521675022562002</c:v>
                </c:pt>
                <c:pt idx="825">
                  <c:v>-3.7907775520110802</c:v>
                </c:pt>
                <c:pt idx="826">
                  <c:v>-3.8294503104391482</c:v>
                </c:pt>
                <c:pt idx="827">
                  <c:v>-3.8681827612888284</c:v>
                </c:pt>
                <c:pt idx="828">
                  <c:v>-3.9069718965405928</c:v>
                </c:pt>
                <c:pt idx="829">
                  <c:v>-3.9458147168064044</c:v>
                </c:pt>
                <c:pt idx="830">
                  <c:v>-3.9847082317261906</c:v>
                </c:pt>
                <c:pt idx="831">
                  <c:v>-4.0236494603612671</c:v>
                </c:pt>
                <c:pt idx="832">
                  <c:v>-4.0626354315846385</c:v>
                </c:pt>
                <c:pt idx="833">
                  <c:v>-4.1016631844680296</c:v>
                </c:pt>
                <c:pt idx="834">
                  <c:v>-4.1407297686656301</c:v>
                </c:pt>
                <c:pt idx="835">
                  <c:v>-4.1798322447943814</c:v>
                </c:pt>
                <c:pt idx="836">
                  <c:v>-4.2189676848107842</c:v>
                </c:pt>
                <c:pt idx="837">
                  <c:v>-4.2581331723840847</c:v>
                </c:pt>
                <c:pt idx="838">
                  <c:v>-4.29732580326578</c:v>
                </c:pt>
                <c:pt idx="839">
                  <c:v>-4.3365426856553579</c:v>
                </c:pt>
                <c:pt idx="840">
                  <c:v>-4.3757809405621773</c:v>
                </c:pt>
                <c:pt idx="841">
                  <c:v>-4.4150377021633878</c:v>
                </c:pt>
                <c:pt idx="842">
                  <c:v>-4.4543101181578786</c:v>
                </c:pt>
                <c:pt idx="843">
                  <c:v>-4.4935953501160615</c:v>
                </c:pt>
                <c:pt idx="844">
                  <c:v>-4.5328905738255045</c:v>
                </c:pt>
                <c:pt idx="845">
                  <c:v>-4.5721929796323328</c:v>
                </c:pt>
                <c:pt idx="846">
                  <c:v>-4.6114997727782363</c:v>
                </c:pt>
                <c:pt idx="847">
                  <c:v>-4.650808173733135</c:v>
                </c:pt>
                <c:pt idx="848">
                  <c:v>-4.690115418523308</c:v>
                </c:pt>
                <c:pt idx="849">
                  <c:v>-4.7294187590550232</c:v>
                </c:pt>
                <c:pt idx="850">
                  <c:v>-4.7687154634335132</c:v>
                </c:pt>
                <c:pt idx="851">
                  <c:v>-4.8080028162772912</c:v>
                </c:pt>
                <c:pt idx="852">
                  <c:v>-4.8472781190276981</c:v>
                </c:pt>
                <c:pt idx="853">
                  <c:v>-4.8865386902536576</c:v>
                </c:pt>
                <c:pt idx="854">
                  <c:v>-4.9257818659515467</c:v>
                </c:pt>
                <c:pt idx="855">
                  <c:v>-4.9650049998401311</c:v>
                </c:pt>
                <c:pt idx="856">
                  <c:v>-5.0042054636505231</c:v>
                </c:pt>
                <c:pt idx="857">
                  <c:v>-5.0433806474110812</c:v>
                </c:pt>
                <c:pt idx="858">
                  <c:v>-5.0825279597272255</c:v>
                </c:pt>
                <c:pt idx="859">
                  <c:v>-5.1216448280560787</c:v>
                </c:pt>
                <c:pt idx="860">
                  <c:v>-5.1607286989759471</c:v>
                </c:pt>
                <c:pt idx="861">
                  <c:v>-5.1997770384505024</c:v>
                </c:pt>
                <c:pt idx="862">
                  <c:v>-5.2387873320877238</c:v>
                </c:pt>
                <c:pt idx="863">
                  <c:v>-5.2777570853934588</c:v>
                </c:pt>
                <c:pt idx="864">
                  <c:v>-5.3166838240196403</c:v>
                </c:pt>
                <c:pt idx="865">
                  <c:v>-5.3555650940070718</c:v>
                </c:pt>
                <c:pt idx="866">
                  <c:v>-5.394398462022731</c:v>
                </c:pt>
                <c:pt idx="867">
                  <c:v>-5.4331815155916559</c:v>
                </c:pt>
                <c:pt idx="868">
                  <c:v>-5.4719118633232062</c:v>
                </c:pt>
                <c:pt idx="869">
                  <c:v>-5.5105871351318774</c:v>
                </c:pt>
                <c:pt idx="870">
                  <c:v>-5.5492049824524443</c:v>
                </c:pt>
                <c:pt idx="871">
                  <c:v>-5.5877630784495391</c:v>
                </c:pt>
                <c:pt idx="872">
                  <c:v>-5.6262591182215891</c:v>
                </c:pt>
                <c:pt idx="873">
                  <c:v>-5.6646908189990741</c:v>
                </c:pt>
                <c:pt idx="874">
                  <c:v>-5.7030559203371372</c:v>
                </c:pt>
                <c:pt idx="875">
                  <c:v>-5.7413521843024684</c:v>
                </c:pt>
                <c:pt idx="876">
                  <c:v>-5.7795773956544982</c:v>
                </c:pt>
                <c:pt idx="877">
                  <c:v>-5.8177293620208292</c:v>
                </c:pt>
                <c:pt idx="878">
                  <c:v>-5.855805914066976</c:v>
                </c:pt>
                <c:pt idx="879">
                  <c:v>-5.8938049056603043</c:v>
                </c:pt>
                <c:pt idx="880">
                  <c:v>-5.9317242140282325</c:v>
                </c:pt>
                <c:pt idx="881">
                  <c:v>-5.9695617399106791</c:v>
                </c:pt>
                <c:pt idx="882">
                  <c:v>-6.0073154077067246</c:v>
                </c:pt>
                <c:pt idx="883">
                  <c:v>-6.0449831656154807</c:v>
                </c:pt>
                <c:pt idx="884">
                  <c:v>-6.0825629857712533</c:v>
                </c:pt>
                <c:pt idx="885">
                  <c:v>-6.1200528643728465</c:v>
                </c:pt>
                <c:pt idx="886">
                  <c:v>-6.1574508218071902</c:v>
                </c:pt>
                <c:pt idx="887">
                  <c:v>-6.1947549027671354</c:v>
                </c:pt>
                <c:pt idx="888">
                  <c:v>-6.2319631763635499</c:v>
                </c:pt>
                <c:pt idx="889">
                  <c:v>-6.2690737362316247</c:v>
                </c:pt>
                <c:pt idx="890">
                  <c:v>-6.3060847006314917</c:v>
                </c:pt>
                <c:pt idx="891">
                  <c:v>-6.3429942125431138</c:v>
                </c:pt>
                <c:pt idx="892">
                  <c:v>-6.3798004397554609</c:v>
                </c:pt>
                <c:pt idx="893">
                  <c:v>-6.4165015749500087</c:v>
                </c:pt>
                <c:pt idx="894">
                  <c:v>-6.453095835778587</c:v>
                </c:pt>
                <c:pt idx="895">
                  <c:v>-6.4895814649355792</c:v>
                </c:pt>
                <c:pt idx="896">
                  <c:v>-6.5259567302244728</c:v>
                </c:pt>
                <c:pt idx="897">
                  <c:v>-6.5622199246188941</c:v>
                </c:pt>
                <c:pt idx="898">
                  <c:v>-6.5983693663179714</c:v>
                </c:pt>
                <c:pt idx="899">
                  <c:v>-6.6344033987962625</c:v>
                </c:pt>
                <c:pt idx="900">
                  <c:v>-6.6703203908480893</c:v>
                </c:pt>
                <c:pt idx="901">
                  <c:v>-6.7061187366264488</c:v>
                </c:pt>
                <c:pt idx="902">
                  <c:v>-6.7417968556764629</c:v>
                </c:pt>
                <c:pt idx="903">
                  <c:v>-6.7773531929634228</c:v>
                </c:pt>
                <c:pt idx="904">
                  <c:v>-6.8127862188954458</c:v>
                </c:pt>
                <c:pt idx="905">
                  <c:v>-6.8480944293408461</c:v>
                </c:pt>
                <c:pt idx="906">
                  <c:v>-6.8832763456401587</c:v>
                </c:pt>
                <c:pt idx="907">
                  <c:v>-6.9183305146129346</c:v>
                </c:pt>
                <c:pt idx="908">
                  <c:v>-6.9532555085593408</c:v>
                </c:pt>
                <c:pt idx="909">
                  <c:v>-6.9880499252565773</c:v>
                </c:pt>
                <c:pt idx="910">
                  <c:v>-7.0227123879501798</c:v>
                </c:pt>
                <c:pt idx="911">
                  <c:v>-7.0572415453402622</c:v>
                </c:pt>
                <c:pt idx="912">
                  <c:v>-7.0916360715627222</c:v>
                </c:pt>
                <c:pt idx="913">
                  <c:v>-7.125894666165471</c:v>
                </c:pt>
                <c:pt idx="914">
                  <c:v>-7.1600160540797777</c:v>
                </c:pt>
                <c:pt idx="915">
                  <c:v>-7.1939989855866795</c:v>
                </c:pt>
                <c:pt idx="916">
                  <c:v>-7.227842236278649</c:v>
                </c:pt>
                <c:pt idx="917">
                  <c:v>-7.2615446070164369</c:v>
                </c:pt>
                <c:pt idx="918">
                  <c:v>-7.295104923881258</c:v>
                </c:pt>
                <c:pt idx="919">
                  <c:v>-7.328522038122288</c:v>
                </c:pt>
                <c:pt idx="920">
                  <c:v>-7.3617948260996098</c:v>
                </c:pt>
                <c:pt idx="921">
                  <c:v>-7.3949221892225916</c:v>
                </c:pt>
                <c:pt idx="922">
                  <c:v>-7.4279030538838304</c:v>
                </c:pt>
                <c:pt idx="923">
                  <c:v>-7.460736371388645</c:v>
                </c:pt>
                <c:pt idx="924">
                  <c:v>-7.4934211178802492</c:v>
                </c:pt>
                <c:pt idx="925">
                  <c:v>-7.5259562942606362</c:v>
                </c:pt>
                <c:pt idx="926">
                  <c:v>-7.5259886097866602</c:v>
                </c:pt>
                <c:pt idx="927">
                  <c:v>-7.5260209251630803</c:v>
                </c:pt>
                <c:pt idx="928">
                  <c:v>-7.5260532403899036</c:v>
                </c:pt>
                <c:pt idx="929">
                  <c:v>-7.5260855554671302</c:v>
                </c:pt>
                <c:pt idx="930">
                  <c:v>-7.5261178703947582</c:v>
                </c:pt>
                <c:pt idx="931">
                  <c:v>-7.5261501851727814</c:v>
                </c:pt>
                <c:pt idx="932">
                  <c:v>-7.5261824998012097</c:v>
                </c:pt>
                <c:pt idx="933">
                  <c:v>-7.5262148142800305</c:v>
                </c:pt>
                <c:pt idx="934">
                  <c:v>-7.5262471286092456</c:v>
                </c:pt>
                <c:pt idx="935">
                  <c:v>-7.5262794427888613</c:v>
                </c:pt>
                <c:pt idx="936">
                  <c:v>-7.5263117568188695</c:v>
                </c:pt>
                <c:pt idx="937">
                  <c:v>-7.5263440706992704</c:v>
                </c:pt>
                <c:pt idx="938">
                  <c:v>-7.5263763844300682</c:v>
                </c:pt>
                <c:pt idx="939">
                  <c:v>-7.5264086980112541</c:v>
                </c:pt>
                <c:pt idx="940">
                  <c:v>-7.5264410114428335</c:v>
                </c:pt>
                <c:pt idx="941">
                  <c:v>-7.5264733247247984</c:v>
                </c:pt>
                <c:pt idx="942">
                  <c:v>-7.5265056378571584</c:v>
                </c:pt>
                <c:pt idx="943">
                  <c:v>-7.5265379508399057</c:v>
                </c:pt>
                <c:pt idx="944">
                  <c:v>-7.5265702636730341</c:v>
                </c:pt>
                <c:pt idx="945">
                  <c:v>-7.5266025763565514</c:v>
                </c:pt>
                <c:pt idx="946">
                  <c:v>-7.5266348888904586</c:v>
                </c:pt>
                <c:pt idx="947">
                  <c:v>-7.5266672012747442</c:v>
                </c:pt>
                <c:pt idx="948">
                  <c:v>-7.5266995135094161</c:v>
                </c:pt>
                <c:pt idx="949">
                  <c:v>-7.5267318255944691</c:v>
                </c:pt>
                <c:pt idx="950">
                  <c:v>-7.5267641375299013</c:v>
                </c:pt>
                <c:pt idx="951">
                  <c:v>-7.5267964493157207</c:v>
                </c:pt>
                <c:pt idx="952">
                  <c:v>-7.5268287609519158</c:v>
                </c:pt>
                <c:pt idx="953">
                  <c:v>-7.5268610724384883</c:v>
                </c:pt>
                <c:pt idx="954">
                  <c:v>-7.5268933837754419</c:v>
                </c:pt>
                <c:pt idx="955">
                  <c:v>-7.5269256949627668</c:v>
                </c:pt>
                <c:pt idx="956">
                  <c:v>-7.5269580060004699</c:v>
                </c:pt>
                <c:pt idx="957">
                  <c:v>-7.5269903168885461</c:v>
                </c:pt>
                <c:pt idx="958">
                  <c:v>-7.5270226276270034</c:v>
                </c:pt>
                <c:pt idx="959">
                  <c:v>-7.5270549382158247</c:v>
                </c:pt>
                <c:pt idx="960">
                  <c:v>-7.5270872486550227</c:v>
                </c:pt>
                <c:pt idx="961">
                  <c:v>-7.5271195589445927</c:v>
                </c:pt>
                <c:pt idx="962">
                  <c:v>-7.5271518690845314</c:v>
                </c:pt>
                <c:pt idx="963">
                  <c:v>-7.5271841790748351</c:v>
                </c:pt>
                <c:pt idx="964">
                  <c:v>-7.5272164889155171</c:v>
                </c:pt>
                <c:pt idx="965">
                  <c:v>-7.5272487986065579</c:v>
                </c:pt>
                <c:pt idx="966">
                  <c:v>-7.5272811081479682</c:v>
                </c:pt>
                <c:pt idx="967">
                  <c:v>-7.5273134175397418</c:v>
                </c:pt>
                <c:pt idx="968">
                  <c:v>-7.5273457267818822</c:v>
                </c:pt>
                <c:pt idx="969">
                  <c:v>-7.5273780358743876</c:v>
                </c:pt>
                <c:pt idx="970">
                  <c:v>-7.5274103448172491</c:v>
                </c:pt>
                <c:pt idx="971">
                  <c:v>-7.5274426536104784</c:v>
                </c:pt>
                <c:pt idx="972">
                  <c:v>-7.5274749622540682</c:v>
                </c:pt>
                <c:pt idx="973">
                  <c:v>-7.5275072707480151</c:v>
                </c:pt>
                <c:pt idx="974">
                  <c:v>-7.5275395790923234</c:v>
                </c:pt>
                <c:pt idx="975">
                  <c:v>-7.5275718872869852</c:v>
                </c:pt>
                <c:pt idx="976">
                  <c:v>-7.5276041953320076</c:v>
                </c:pt>
                <c:pt idx="977">
                  <c:v>-7.5276365032273862</c:v>
                </c:pt>
                <c:pt idx="978">
                  <c:v>-7.5276688109731165</c:v>
                </c:pt>
                <c:pt idx="979">
                  <c:v>-7.5277011185692029</c:v>
                </c:pt>
                <c:pt idx="980">
                  <c:v>-7.5277334260156437</c:v>
                </c:pt>
                <c:pt idx="981">
                  <c:v>-7.5277657333124353</c:v>
                </c:pt>
                <c:pt idx="982">
                  <c:v>-7.5277980404595759</c:v>
                </c:pt>
                <c:pt idx="983">
                  <c:v>-7.5278303474570718</c:v>
                </c:pt>
                <c:pt idx="984">
                  <c:v>-7.5278626543049105</c:v>
                </c:pt>
                <c:pt idx="985">
                  <c:v>-7.527894961003101</c:v>
                </c:pt>
                <c:pt idx="986">
                  <c:v>-7.5279272675516413</c:v>
                </c:pt>
                <c:pt idx="987">
                  <c:v>-7.5279595739505272</c:v>
                </c:pt>
                <c:pt idx="988">
                  <c:v>-7.5279918801997576</c:v>
                </c:pt>
                <c:pt idx="989">
                  <c:v>-7.5280241862993327</c:v>
                </c:pt>
                <c:pt idx="990">
                  <c:v>-7.528056492249255</c:v>
                </c:pt>
                <c:pt idx="991">
                  <c:v>-7.5280887980495148</c:v>
                </c:pt>
                <c:pt idx="992">
                  <c:v>-7.5281211037001148</c:v>
                </c:pt>
                <c:pt idx="993">
                  <c:v>-7.528153409201062</c:v>
                </c:pt>
                <c:pt idx="994">
                  <c:v>-7.5281857145523441</c:v>
                </c:pt>
                <c:pt idx="995">
                  <c:v>-7.528218019753969</c:v>
                </c:pt>
                <c:pt idx="996">
                  <c:v>-7.5282503248059305</c:v>
                </c:pt>
                <c:pt idx="997">
                  <c:v>-7.5282826297082304</c:v>
                </c:pt>
                <c:pt idx="998">
                  <c:v>-7.5283149344608624</c:v>
                </c:pt>
                <c:pt idx="999">
                  <c:v>-7.5283472390638364</c:v>
                </c:pt>
                <c:pt idx="1000">
                  <c:v>-7.5283795435171372</c:v>
                </c:pt>
              </c:numCache>
            </c:numRef>
          </c:yVal>
          <c:smooth val="0"/>
          <c:extLst>
            <c:ext xmlns:c16="http://schemas.microsoft.com/office/drawing/2014/chart" uri="{C3380CC4-5D6E-409C-BE32-E72D297353CC}">
              <c16:uniqueId val="{00000001-2879-444D-95E8-1EF697772180}"/>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47.400100000000343</c:v>
                </c:pt>
                <c:pt idx="926">
                  <c:v>47.400200000000346</c:v>
                </c:pt>
                <c:pt idx="927">
                  <c:v>47.40030000000035</c:v>
                </c:pt>
                <c:pt idx="928">
                  <c:v>47.400400000000353</c:v>
                </c:pt>
                <c:pt idx="929">
                  <c:v>47.400500000000356</c:v>
                </c:pt>
                <c:pt idx="930">
                  <c:v>47.40060000000036</c:v>
                </c:pt>
                <c:pt idx="931">
                  <c:v>47.400700000000363</c:v>
                </c:pt>
                <c:pt idx="932">
                  <c:v>47.400800000000366</c:v>
                </c:pt>
                <c:pt idx="933">
                  <c:v>47.40090000000037</c:v>
                </c:pt>
                <c:pt idx="934">
                  <c:v>47.401000000000373</c:v>
                </c:pt>
                <c:pt idx="935">
                  <c:v>47.401100000000376</c:v>
                </c:pt>
                <c:pt idx="936">
                  <c:v>47.401200000000379</c:v>
                </c:pt>
                <c:pt idx="937">
                  <c:v>47.401300000000383</c:v>
                </c:pt>
                <c:pt idx="938">
                  <c:v>47.401400000000386</c:v>
                </c:pt>
                <c:pt idx="939">
                  <c:v>47.401500000000389</c:v>
                </c:pt>
                <c:pt idx="940">
                  <c:v>47.401600000000393</c:v>
                </c:pt>
                <c:pt idx="941">
                  <c:v>47.401700000000396</c:v>
                </c:pt>
                <c:pt idx="942">
                  <c:v>47.401800000000399</c:v>
                </c:pt>
                <c:pt idx="943">
                  <c:v>47.401900000000403</c:v>
                </c:pt>
                <c:pt idx="944">
                  <c:v>47.402000000000406</c:v>
                </c:pt>
                <c:pt idx="945">
                  <c:v>47.402100000000409</c:v>
                </c:pt>
                <c:pt idx="946">
                  <c:v>47.402200000000413</c:v>
                </c:pt>
                <c:pt idx="947">
                  <c:v>47.402300000000416</c:v>
                </c:pt>
                <c:pt idx="948">
                  <c:v>47.402400000000419</c:v>
                </c:pt>
                <c:pt idx="949">
                  <c:v>47.402500000000423</c:v>
                </c:pt>
                <c:pt idx="950">
                  <c:v>47.402600000000426</c:v>
                </c:pt>
                <c:pt idx="951">
                  <c:v>47.402700000000429</c:v>
                </c:pt>
                <c:pt idx="952">
                  <c:v>47.402800000000433</c:v>
                </c:pt>
                <c:pt idx="953">
                  <c:v>47.402900000000436</c:v>
                </c:pt>
                <c:pt idx="954">
                  <c:v>47.403000000000439</c:v>
                </c:pt>
                <c:pt idx="955">
                  <c:v>47.403100000000443</c:v>
                </c:pt>
                <c:pt idx="956">
                  <c:v>47.403200000000446</c:v>
                </c:pt>
                <c:pt idx="957">
                  <c:v>47.403300000000449</c:v>
                </c:pt>
                <c:pt idx="958">
                  <c:v>47.403400000000453</c:v>
                </c:pt>
                <c:pt idx="959">
                  <c:v>47.403500000000456</c:v>
                </c:pt>
                <c:pt idx="960">
                  <c:v>47.403600000000459</c:v>
                </c:pt>
                <c:pt idx="961">
                  <c:v>47.403700000000462</c:v>
                </c:pt>
                <c:pt idx="962">
                  <c:v>47.403800000000466</c:v>
                </c:pt>
                <c:pt idx="963">
                  <c:v>47.403900000000469</c:v>
                </c:pt>
                <c:pt idx="964">
                  <c:v>47.404000000000472</c:v>
                </c:pt>
                <c:pt idx="965">
                  <c:v>47.404100000000476</c:v>
                </c:pt>
                <c:pt idx="966">
                  <c:v>47.404200000000479</c:v>
                </c:pt>
                <c:pt idx="967">
                  <c:v>47.404300000000482</c:v>
                </c:pt>
                <c:pt idx="968">
                  <c:v>47.404400000000486</c:v>
                </c:pt>
                <c:pt idx="969">
                  <c:v>47.404500000000489</c:v>
                </c:pt>
                <c:pt idx="970">
                  <c:v>47.404600000000492</c:v>
                </c:pt>
                <c:pt idx="971">
                  <c:v>47.404700000000496</c:v>
                </c:pt>
                <c:pt idx="972">
                  <c:v>47.404800000000499</c:v>
                </c:pt>
                <c:pt idx="973">
                  <c:v>47.404900000000502</c:v>
                </c:pt>
                <c:pt idx="974">
                  <c:v>47.405000000000506</c:v>
                </c:pt>
                <c:pt idx="975">
                  <c:v>47.405100000000509</c:v>
                </c:pt>
                <c:pt idx="976">
                  <c:v>47.405200000000512</c:v>
                </c:pt>
                <c:pt idx="977">
                  <c:v>47.405300000000516</c:v>
                </c:pt>
                <c:pt idx="978">
                  <c:v>47.405400000000519</c:v>
                </c:pt>
                <c:pt idx="979">
                  <c:v>47.405500000000522</c:v>
                </c:pt>
                <c:pt idx="980">
                  <c:v>47.405600000000526</c:v>
                </c:pt>
                <c:pt idx="981">
                  <c:v>47.405700000000529</c:v>
                </c:pt>
                <c:pt idx="982">
                  <c:v>47.405800000000532</c:v>
                </c:pt>
                <c:pt idx="983">
                  <c:v>47.405900000000535</c:v>
                </c:pt>
                <c:pt idx="984">
                  <c:v>47.406000000000539</c:v>
                </c:pt>
                <c:pt idx="985">
                  <c:v>47.406100000000542</c:v>
                </c:pt>
                <c:pt idx="986">
                  <c:v>47.406200000000545</c:v>
                </c:pt>
                <c:pt idx="987">
                  <c:v>47.406300000000549</c:v>
                </c:pt>
                <c:pt idx="988">
                  <c:v>47.406400000000552</c:v>
                </c:pt>
                <c:pt idx="989">
                  <c:v>47.406500000000555</c:v>
                </c:pt>
                <c:pt idx="990">
                  <c:v>47.406600000000559</c:v>
                </c:pt>
                <c:pt idx="991">
                  <c:v>47.406700000000562</c:v>
                </c:pt>
                <c:pt idx="992">
                  <c:v>47.406800000000565</c:v>
                </c:pt>
                <c:pt idx="993">
                  <c:v>47.406900000000569</c:v>
                </c:pt>
                <c:pt idx="994">
                  <c:v>47.407000000000572</c:v>
                </c:pt>
                <c:pt idx="995">
                  <c:v>47.407100000000575</c:v>
                </c:pt>
                <c:pt idx="996">
                  <c:v>47.407200000000579</c:v>
                </c:pt>
                <c:pt idx="997">
                  <c:v>47.407300000000582</c:v>
                </c:pt>
                <c:pt idx="998">
                  <c:v>47.407400000000585</c:v>
                </c:pt>
                <c:pt idx="999">
                  <c:v>47.407500000000589</c:v>
                </c:pt>
                <c:pt idx="1000">
                  <c:v>47.407600000000592</c:v>
                </c:pt>
              </c:numCache>
            </c:numRef>
          </c:xVal>
          <c:yVal>
            <c:numRef>
              <c:f>Calculs!$J$4:$J$1004</c:f>
              <c:numCache>
                <c:formatCode>0.00</c:formatCode>
                <c:ptCount val="1001"/>
                <c:pt idx="0">
                  <c:v>0</c:v>
                </c:pt>
                <c:pt idx="1">
                  <c:v>6.5123094918114621E-5</c:v>
                </c:pt>
                <c:pt idx="2">
                  <c:v>4.2488242924534284E-4</c:v>
                </c:pt>
                <c:pt idx="3">
                  <c:v>1.3119003432585578E-3</c:v>
                </c:pt>
                <c:pt idx="4">
                  <c:v>2.8626887034418225E-3</c:v>
                </c:pt>
                <c:pt idx="5">
                  <c:v>5.2138617293519063E-3</c:v>
                </c:pt>
                <c:pt idx="6">
                  <c:v>8.5021515086477449E-3</c:v>
                </c:pt>
                <c:pt idx="7">
                  <c:v>1.2864423413201102E-2</c:v>
                </c:pt>
                <c:pt idx="8">
                  <c:v>1.8437691421634678E-2</c:v>
                </c:pt>
                <c:pt idx="9">
                  <c:v>2.5359133353511212E-2</c:v>
                </c:pt>
                <c:pt idx="10">
                  <c:v>3.3766106020279227E-2</c:v>
                </c:pt>
                <c:pt idx="11">
                  <c:v>4.3756900129986058E-2</c:v>
                </c:pt>
                <c:pt idx="12">
                  <c:v>5.5351409042305517E-2</c:v>
                </c:pt>
                <c:pt idx="13">
                  <c:v>6.8529971224079847E-2</c:v>
                </c:pt>
                <c:pt idx="14">
                  <c:v>8.3272290984132441E-2</c:v>
                </c:pt>
                <c:pt idx="15">
                  <c:v>9.9557737101413218E-2</c:v>
                </c:pt>
                <c:pt idx="16">
                  <c:v>0.11736564205836292</c:v>
                </c:pt>
                <c:pt idx="17">
                  <c:v>0.13667530262097169</c:v>
                </c:pt>
                <c:pt idx="18">
                  <c:v>0.15746598041853035</c:v>
                </c:pt>
                <c:pt idx="19">
                  <c:v>0.17971690252300429</c:v>
                </c:pt>
                <c:pt idx="20">
                  <c:v>0.20340726202796072</c:v>
                </c:pt>
                <c:pt idx="21">
                  <c:v>0.22851621862697996</c:v>
                </c:pt>
                <c:pt idx="22">
                  <c:v>0.25502289919148236</c:v>
                </c:pt>
                <c:pt idx="23">
                  <c:v>0.2829063983479021</c:v>
                </c:pt>
                <c:pt idx="24">
                  <c:v>0.31214577905414076</c:v>
                </c:pt>
                <c:pt idx="25">
                  <c:v>0.34272007317523245</c:v>
                </c:pt>
                <c:pt idx="26">
                  <c:v>0.37460828205815394</c:v>
                </c:pt>
                <c:pt idx="27">
                  <c:v>0.40779465020164973</c:v>
                </c:pt>
                <c:pt idx="28">
                  <c:v>0.44227394721126667</c:v>
                </c:pt>
                <c:pt idx="29">
                  <c:v>0.47804620727208241</c:v>
                </c:pt>
                <c:pt idx="30">
                  <c:v>0.51511146004645958</c:v>
                </c:pt>
                <c:pt idx="31">
                  <c:v>0.55346973066891936</c:v>
                </c:pt>
                <c:pt idx="32">
                  <c:v>0.59312103974109032</c:v>
                </c:pt>
                <c:pt idx="33">
                  <c:v>0.634065403326734</c:v>
                </c:pt>
                <c:pt idx="34">
                  <c:v>0.67630283294684612</c:v>
                </c:pt>
                <c:pt idx="35">
                  <c:v>0.71983333557483398</c:v>
                </c:pt>
                <c:pt idx="36">
                  <c:v>0.76474082948383737</c:v>
                </c:pt>
                <c:pt idx="37">
                  <c:v>0.81111188414689017</c:v>
                </c:pt>
                <c:pt idx="38">
                  <c:v>0.85895177799049927</c:v>
                </c:pt>
                <c:pt idx="39">
                  <c:v>0.90826569656634382</c:v>
                </c:pt>
                <c:pt idx="40">
                  <c:v>0.95905870003008331</c:v>
                </c:pt>
                <c:pt idx="41">
                  <c:v>1.0113357289405205</c:v>
                </c:pt>
                <c:pt idx="42">
                  <c:v>1.0651016096374739</c:v>
                </c:pt>
                <c:pt idx="43">
                  <c:v>1.1203610592385032</c:v>
                </c:pt>
                <c:pt idx="44">
                  <c:v>1.1771186902899375</c:v>
                </c:pt>
                <c:pt idx="45">
                  <c:v>1.2353790151036066</c:v>
                </c:pt>
                <c:pt idx="46">
                  <c:v>1.2951464498071688</c:v>
                </c:pt>
                <c:pt idx="47">
                  <c:v>1.3564253181328909</c:v>
                </c:pt>
                <c:pt idx="48">
                  <c:v>1.4192198549670787</c:v>
                </c:pt>
                <c:pt idx="49">
                  <c:v>1.4835342096800388</c:v>
                </c:pt>
                <c:pt idx="50">
                  <c:v>1.5493724492544252</c:v>
                </c:pt>
                <c:pt idx="51">
                  <c:v>1.6167385612280272</c:v>
                </c:pt>
                <c:pt idx="52">
                  <c:v>1.6856364564654891</c:v>
                </c:pt>
                <c:pt idx="53">
                  <c:v>1.7560699717720525</c:v>
                </c:pt>
                <c:pt idx="54">
                  <c:v>1.8280428723611777</c:v>
                </c:pt>
                <c:pt idx="55">
                  <c:v>1.9015588541868069</c:v>
                </c:pt>
                <c:pt idx="56">
                  <c:v>1.9766215461500516</c:v>
                </c:pt>
                <c:pt idx="57">
                  <c:v>2.0532345121892144</c:v>
                </c:pt>
                <c:pt idx="58">
                  <c:v>2.1314012532612781</c:v>
                </c:pt>
                <c:pt idx="59">
                  <c:v>2.2111252092222911</c:v>
                </c:pt>
                <c:pt idx="60">
                  <c:v>2.2924097606134555</c:v>
                </c:pt>
                <c:pt idx="61">
                  <c:v>2.3752582303591545</c:v>
                </c:pt>
                <c:pt idx="62">
                  <c:v>2.4596738853826476</c:v>
                </c:pt>
                <c:pt idx="63">
                  <c:v>2.5456599381447038</c:v>
                </c:pt>
                <c:pt idx="64">
                  <c:v>2.6332195481100231</c:v>
                </c:pt>
                <c:pt idx="65">
                  <c:v>2.7223558231459228</c:v>
                </c:pt>
                <c:pt idx="66">
                  <c:v>2.8130718208574184</c:v>
                </c:pt>
                <c:pt idx="67">
                  <c:v>2.9053705498625217</c:v>
                </c:pt>
                <c:pt idx="68">
                  <c:v>2.9992549710112946</c:v>
                </c:pt>
                <c:pt idx="69">
                  <c:v>3.0947279985519311</c:v>
                </c:pt>
                <c:pt idx="70">
                  <c:v>3.1917925012469177</c:v>
                </c:pt>
                <c:pt idx="71">
                  <c:v>3.2904513034420932</c:v>
                </c:pt>
                <c:pt idx="72">
                  <c:v>3.3907071200286838</c:v>
                </c:pt>
                <c:pt idx="73">
                  <c:v>3.4925624909091733</c:v>
                </c:pt>
                <c:pt idx="74">
                  <c:v>3.5960198473998877</c:v>
                </c:pt>
                <c:pt idx="75">
                  <c:v>3.7010815790625271</c:v>
                </c:pt>
                <c:pt idx="76">
                  <c:v>3.807750034598075</c:v>
                </c:pt>
                <c:pt idx="77">
                  <c:v>3.9160275227059538</c:v>
                </c:pt>
                <c:pt idx="78">
                  <c:v>4.0259163129102244</c:v>
                </c:pt>
                <c:pt idx="79">
                  <c:v>4.1374186363545178</c:v>
                </c:pt>
                <c:pt idx="80">
                  <c:v>4.2505366865672665</c:v>
                </c:pt>
                <c:pt idx="81">
                  <c:v>4.3652726201987226</c:v>
                </c:pt>
                <c:pt idx="82">
                  <c:v>4.4816285577311517</c:v>
                </c:pt>
                <c:pt idx="83">
                  <c:v>4.5996065841634914</c:v>
                </c:pt>
                <c:pt idx="84">
                  <c:v>4.7192087496717212</c:v>
                </c:pt>
                <c:pt idx="85">
                  <c:v>4.8404370702460779</c:v>
                </c:pt>
                <c:pt idx="86">
                  <c:v>4.9632935283062087</c:v>
                </c:pt>
                <c:pt idx="87">
                  <c:v>5.0877800732952894</c:v>
                </c:pt>
                <c:pt idx="88">
                  <c:v>5.2138986222540584</c:v>
                </c:pt>
                <c:pt idx="89">
                  <c:v>5.3416510603756917</c:v>
                </c:pt>
                <c:pt idx="90">
                  <c:v>5.4710392415423597</c:v>
                </c:pt>
                <c:pt idx="91">
                  <c:v>5.6020649888442948</c:v>
                </c:pt>
                <c:pt idx="92">
                  <c:v>5.7347300950821225</c:v>
                </c:pt>
                <c:pt idx="93">
                  <c:v>5.8690363232531855</c:v>
                </c:pt>
                <c:pt idx="94">
                  <c:v>6.004985407022553</c:v>
                </c:pt>
                <c:pt idx="95">
                  <c:v>6.1425790511793554</c:v>
                </c:pt>
                <c:pt idx="96">
                  <c:v>6.2818189320790676</c:v>
                </c:pt>
                <c:pt idx="97">
                  <c:v>6.4227066980723251</c:v>
                </c:pt>
                <c:pt idx="98">
                  <c:v>6.5652439699208198</c:v>
                </c:pt>
                <c:pt idx="99">
                  <c:v>6.7094323412008148</c:v>
                </c:pt>
                <c:pt idx="100">
                  <c:v>6.8552733786947613</c:v>
                </c:pt>
                <c:pt idx="101">
                  <c:v>7.0027686227715105</c:v>
                </c:pt>
                <c:pt idx="102">
                  <c:v>7.1519195877555575</c:v>
                </c:pt>
                <c:pt idx="103">
                  <c:v>7.3027277622857545</c:v>
                </c:pt>
                <c:pt idx="104">
                  <c:v>7.4551946096639021</c:v>
                </c:pt>
                <c:pt idx="105">
                  <c:v>7.6093215681936046</c:v>
                </c:pt>
                <c:pt idx="106">
                  <c:v>7.7651100515097626</c:v>
                </c:pt>
                <c:pt idx="107">
                  <c:v>7.9225614488990574</c:v>
                </c:pt>
                <c:pt idx="108">
                  <c:v>8.0816771256117619</c:v>
                </c:pt>
                <c:pt idx="109">
                  <c:v>8.2424584231652034</c:v>
                </c:pt>
                <c:pt idx="110">
                  <c:v>8.404906659639181</c:v>
                </c:pt>
                <c:pt idx="111">
                  <c:v>8.5690231299636359</c:v>
                </c:pt>
                <c:pt idx="112">
                  <c:v>8.7348091061988509</c:v>
                </c:pt>
                <c:pt idx="113">
                  <c:v>8.9022658378084465</c:v>
                </c:pt>
                <c:pt idx="114">
                  <c:v>9.0713945519254366</c:v>
                </c:pt>
                <c:pt idx="115">
                  <c:v>9.2421964536115748</c:v>
                </c:pt>
                <c:pt idx="116">
                  <c:v>9.4146727261102434</c:v>
                </c:pt>
                <c:pt idx="117">
                  <c:v>9.5888245310930937</c:v>
                </c:pt>
                <c:pt idx="118">
                  <c:v>9.764653008900666</c:v>
                </c:pt>
                <c:pt idx="119">
                  <c:v>9.9421592787771793</c:v>
                </c:pt>
                <c:pt idx="120">
                  <c:v>10.121344439099703</c:v>
                </c:pt>
                <c:pt idx="121">
                  <c:v>10.302209567601894</c:v>
                </c:pt>
                <c:pt idx="122">
                  <c:v>10.484755721592471</c:v>
                </c:pt>
                <c:pt idx="123">
                  <c:v>10.668983938168624</c:v>
                </c:pt>
                <c:pt idx="124">
                  <c:v>10.854895234424502</c:v>
                </c:pt>
                <c:pt idx="125">
                  <c:v>11.042490607654941</c:v>
                </c:pt>
                <c:pt idx="126">
                  <c:v>11.23177103555461</c:v>
                </c:pt>
                <c:pt idx="127">
                  <c:v>11.422737476412694</c:v>
                </c:pt>
                <c:pt idx="128">
                  <c:v>11.615390869303271</c:v>
                </c:pt>
                <c:pt idx="129">
                  <c:v>11.809731805495845</c:v>
                </c:pt>
                <c:pt idx="130">
                  <c:v>12.005760198461957</c:v>
                </c:pt>
                <c:pt idx="131">
                  <c:v>12.203475610989555</c:v>
                </c:pt>
                <c:pt idx="132">
                  <c:v>12.402877583717872</c:v>
                </c:pt>
                <c:pt idx="133">
                  <c:v>12.603965635356587</c:v>
                </c:pt>
                <c:pt idx="134">
                  <c:v>12.806739262900573</c:v>
                </c:pt>
                <c:pt idx="135">
                  <c:v>13.011197941840342</c:v>
                </c:pt>
                <c:pt idx="136">
                  <c:v>13.21734112636836</c:v>
                </c:pt>
                <c:pt idx="137">
                  <c:v>13.425168249581322</c:v>
                </c:pt>
                <c:pt idx="138">
                  <c:v>13.634678723678535</c:v>
                </c:pt>
                <c:pt idx="139">
                  <c:v>13.845871940156524</c:v>
                </c:pt>
                <c:pt idx="140">
                  <c:v>14.058747269999975</c:v>
                </c:pt>
                <c:pt idx="141">
                  <c:v>14.273304063869125</c:v>
                </c:pt>
                <c:pt idx="142">
                  <c:v>14.489541652283705</c:v>
                </c:pt>
                <c:pt idx="143">
                  <c:v>14.707459345803553</c:v>
                </c:pt>
                <c:pt idx="144">
                  <c:v>14.927056435205962</c:v>
                </c:pt>
                <c:pt idx="145">
                  <c:v>15.148332191659907</c:v>
                </c:pt>
                <c:pt idx="146">
                  <c:v>15.371285866897196</c:v>
                </c:pt>
                <c:pt idx="147">
                  <c:v>15.595916693380667</c:v>
                </c:pt>
                <c:pt idx="148">
                  <c:v>15.822223884469503</c:v>
                </c:pt>
                <c:pt idx="149">
                  <c:v>16.050206634581748</c:v>
                </c:pt>
                <c:pt idx="150">
                  <c:v>16.279864119354102</c:v>
                </c:pt>
                <c:pt idx="151">
                  <c:v>16.51119549579909</c:v>
                </c:pt>
                <c:pt idx="152">
                  <c:v>16.744199902459645</c:v>
                </c:pt>
                <c:pt idx="153">
                  <c:v>16.97887645956121</c:v>
                </c:pt>
                <c:pt idx="154">
                  <c:v>17.215224269161418</c:v>
                </c:pt>
                <c:pt idx="155">
                  <c:v>17.453242415297396</c:v>
                </c:pt>
                <c:pt idx="156">
                  <c:v>17.692929964130805</c:v>
                </c:pt>
                <c:pt idx="157">
                  <c:v>17.93428596409062</c:v>
                </c:pt>
                <c:pt idx="158">
                  <c:v>18.177309446013762</c:v>
                </c:pt>
                <c:pt idx="159">
                  <c:v>18.421999423283612</c:v>
                </c:pt>
                <c:pt idx="160">
                  <c:v>18.668354891966462</c:v>
                </c:pt>
                <c:pt idx="161">
                  <c:v>18.91637483094598</c:v>
                </c:pt>
                <c:pt idx="162">
                  <c:v>19.166058202055726</c:v>
                </c:pt>
                <c:pt idx="163">
                  <c:v>19.41740395020976</c:v>
                </c:pt>
                <c:pt idx="164">
                  <c:v>19.670411003531424</c:v>
                </c:pt>
                <c:pt idx="165">
                  <c:v>19.925078273480302</c:v>
                </c:pt>
                <c:pt idx="166">
                  <c:v>20.18140465497746</c:v>
                </c:pt>
                <c:pt idx="167">
                  <c:v>20.439389026528946</c:v>
                </c:pt>
                <c:pt idx="168">
                  <c:v>20.699030250347651</c:v>
                </c:pt>
                <c:pt idx="169">
                  <c:v>20.960327172473544</c:v>
                </c:pt>
                <c:pt idx="170">
                  <c:v>21.223278622892327</c:v>
                </c:pt>
                <c:pt idx="171">
                  <c:v>21.487883415652536</c:v>
                </c:pt>
                <c:pt idx="172">
                  <c:v>21.754140348981181</c:v>
                </c:pt>
                <c:pt idx="173">
                  <c:v>22.022048205397869</c:v>
                </c:pt>
                <c:pt idx="174">
                  <c:v>22.291605751827539</c:v>
                </c:pt>
                <c:pt idx="175">
                  <c:v>22.56281173971179</c:v>
                </c:pt>
                <c:pt idx="176">
                  <c:v>22.83566490511885</c:v>
                </c:pt>
                <c:pt idx="177">
                  <c:v>23.11016396885222</c:v>
                </c:pt>
                <c:pt idx="178">
                  <c:v>23.38630763655803</c:v>
                </c:pt>
                <c:pt idx="179">
                  <c:v>23.66409459883112</c:v>
                </c:pt>
                <c:pt idx="180">
                  <c:v>23.943523531319904</c:v>
                </c:pt>
                <c:pt idx="181">
                  <c:v>24.224593094830013</c:v>
                </c:pt>
                <c:pt idx="182">
                  <c:v>24.507301935426781</c:v>
                </c:pt>
                <c:pt idx="183">
                  <c:v>24.791648684536568</c:v>
                </c:pt>
                <c:pt idx="184">
                  <c:v>25.077631959046979</c:v>
                </c:pt>
                <c:pt idx="185">
                  <c:v>25.36525036140597</c:v>
                </c:pt>
                <c:pt idx="186">
                  <c:v>25.654502479719895</c:v>
                </c:pt>
                <c:pt idx="187">
                  <c:v>25.945386887850511</c:v>
                </c:pt>
                <c:pt idx="188">
                  <c:v>26.237902145510947</c:v>
                </c:pt>
                <c:pt idx="189">
                  <c:v>26.532046798360703</c:v>
                </c:pt>
                <c:pt idx="190">
                  <c:v>26.827819378099633</c:v>
                </c:pt>
                <c:pt idx="191">
                  <c:v>27.125218402561018</c:v>
                </c:pt>
                <c:pt idx="192">
                  <c:v>27.424242375803665</c:v>
                </c:pt>
                <c:pt idx="193">
                  <c:v>27.724889788203136</c:v>
                </c:pt>
                <c:pt idx="194">
                  <c:v>28.027159116542045</c:v>
                </c:pt>
                <c:pt idx="195">
                  <c:v>28.331048824099511</c:v>
                </c:pt>
                <c:pt idx="196">
                  <c:v>28.63655736073974</c:v>
                </c:pt>
                <c:pt idx="197">
                  <c:v>28.943683162999793</c:v>
                </c:pt>
                <c:pt idx="198">
                  <c:v>29.252424654176508</c:v>
                </c:pt>
                <c:pt idx="199">
                  <c:v>29.562780244412647</c:v>
                </c:pt>
                <c:pt idx="200">
                  <c:v>29.874748330782246</c:v>
                </c:pt>
                <c:pt idx="201">
                  <c:v>30.188327297375213</c:v>
                </c:pt>
                <c:pt idx="202">
                  <c:v>30.50351551538116</c:v>
                </c:pt>
                <c:pt idx="203">
                  <c:v>30.820311343172502</c:v>
                </c:pt>
                <c:pt idx="204">
                  <c:v>31.138713126386854</c:v>
                </c:pt>
                <c:pt idx="205">
                  <c:v>31.458719198008705</c:v>
                </c:pt>
                <c:pt idx="206">
                  <c:v>31.780327793162098</c:v>
                </c:pt>
                <c:pt idx="207">
                  <c:v>32.103536963665519</c:v>
                </c:pt>
                <c:pt idx="208">
                  <c:v>32.428344663105868</c:v>
                </c:pt>
                <c:pt idx="209">
                  <c:v>32.7547488321526</c:v>
                </c:pt>
                <c:pt idx="210">
                  <c:v>33.082747398643463</c:v>
                </c:pt>
                <c:pt idx="211">
                  <c:v>33.412338277669548</c:v>
                </c:pt>
                <c:pt idx="212">
                  <c:v>33.743519371659673</c:v>
                </c:pt>
                <c:pt idx="213">
                  <c:v>34.076288570464087</c:v>
                </c:pt>
                <c:pt idx="214">
                  <c:v>34.410643751437568</c:v>
                </c:pt>
                <c:pt idx="215">
                  <c:v>34.746582779521873</c:v>
                </c:pt>
                <c:pt idx="216">
                  <c:v>35.084103507327541</c:v>
                </c:pt>
                <c:pt idx="217">
                  <c:v>35.423203775215143</c:v>
                </c:pt>
                <c:pt idx="218">
                  <c:v>35.763881411375877</c:v>
                </c:pt>
                <c:pt idx="219">
                  <c:v>36.106134231911604</c:v>
                </c:pt>
                <c:pt idx="220">
                  <c:v>36.449960040914334</c:v>
                </c:pt>
                <c:pt idx="221">
                  <c:v>36.795356630545086</c:v>
                </c:pt>
                <c:pt idx="222">
                  <c:v>37.142321781112251</c:v>
                </c:pt>
                <c:pt idx="223">
                  <c:v>37.490853261149383</c:v>
                </c:pt>
                <c:pt idx="224">
                  <c:v>37.840948827492447</c:v>
                </c:pt>
                <c:pt idx="225">
                  <c:v>38.192606225356563</c:v>
                </c:pt>
                <c:pt idx="226">
                  <c:v>38.545823188412236</c:v>
                </c:pt>
                <c:pt idx="227">
                  <c:v>38.900597438861034</c:v>
                </c:pt>
                <c:pt idx="228">
                  <c:v>39.256926687510827</c:v>
                </c:pt>
                <c:pt idx="229">
                  <c:v>39.614808633850494</c:v>
                </c:pt>
                <c:pt idx="230">
                  <c:v>39.974240966124164</c:v>
                </c:pt>
                <c:pt idx="231">
                  <c:v>40.335221361404983</c:v>
                </c:pt>
                <c:pt idx="232">
                  <c:v>40.697747485668408</c:v>
                </c:pt>
                <c:pt idx="233">
                  <c:v>41.061816993865051</c:v>
                </c:pt>
                <c:pt idx="234">
                  <c:v>41.427427529993054</c:v>
                </c:pt>
                <c:pt idx="235">
                  <c:v>41.794576727170046</c:v>
                </c:pt>
                <c:pt idx="236">
                  <c:v>42.163262207704641</c:v>
                </c:pt>
                <c:pt idx="237">
                  <c:v>42.533481583167521</c:v>
                </c:pt>
                <c:pt idx="238">
                  <c:v>42.905232454462087</c:v>
                </c:pt>
                <c:pt idx="239">
                  <c:v>43.278512411894688</c:v>
                </c:pt>
                <c:pt idx="240">
                  <c:v>43.653319035244451</c:v>
                </c:pt>
                <c:pt idx="241">
                  <c:v>44.029649893832712</c:v>
                </c:pt>
                <c:pt idx="242">
                  <c:v>44.407502245115431</c:v>
                </c:pt>
                <c:pt idx="243">
                  <c:v>44.786872732571624</c:v>
                </c:pt>
                <c:pt idx="244">
                  <c:v>45.167757686415143</c:v>
                </c:pt>
                <c:pt idx="245">
                  <c:v>45.550153425021421</c:v>
                </c:pt>
                <c:pt idx="246">
                  <c:v>45.934056255018298</c:v>
                </c:pt>
                <c:pt idx="247">
                  <c:v>46.31946247137634</c:v>
                </c:pt>
                <c:pt idx="248">
                  <c:v>46.706368357498611</c:v>
                </c:pt>
                <c:pt idx="249">
                  <c:v>47.094770185309933</c:v>
                </c:pt>
                <c:pt idx="250">
                  <c:v>47.484664215345617</c:v>
                </c:pt>
                <c:pt idx="251">
                  <c:v>47.876046696839708</c:v>
                </c:pt>
                <c:pt idx="252">
                  <c:v>48.268913867812721</c:v>
                </c:pt>
                <c:pt idx="253">
                  <c:v>48.663261955158859</c:v>
                </c:pt>
                <c:pt idx="254">
                  <c:v>49.059087174732781</c:v>
                </c:pt>
                <c:pt idx="255">
                  <c:v>49.456385731435844</c:v>
                </c:pt>
                <c:pt idx="256">
                  <c:v>49.855153819301911</c:v>
                </c:pt>
                <c:pt idx="257">
                  <c:v>50.255387621582642</c:v>
                </c:pt>
                <c:pt idx="258">
                  <c:v>50.657083310832341</c:v>
                </c:pt>
                <c:pt idx="259">
                  <c:v>51.060237048992356</c:v>
                </c:pt>
                <c:pt idx="260">
                  <c:v>51.464844987474983</c:v>
                </c:pt>
                <c:pt idx="261">
                  <c:v>51.870903267246938</c:v>
                </c:pt>
                <c:pt idx="262">
                  <c:v>52.278408018912387</c:v>
                </c:pt>
                <c:pt idx="263">
                  <c:v>52.687355362795529</c:v>
                </c:pt>
                <c:pt idx="264">
                  <c:v>53.097741409022738</c:v>
                </c:pt>
                <c:pt idx="265">
                  <c:v>53.509562257604266</c:v>
                </c:pt>
                <c:pt idx="266">
                  <c:v>53.922813998515515</c:v>
                </c:pt>
                <c:pt idx="267">
                  <c:v>54.337492711777898</c:v>
                </c:pt>
                <c:pt idx="268">
                  <c:v>54.753594467539273</c:v>
                </c:pt>
                <c:pt idx="269">
                  <c:v>55.171115326153945</c:v>
                </c:pt>
                <c:pt idx="270">
                  <c:v>55.590051338262271</c:v>
                </c:pt>
                <c:pt idx="271">
                  <c:v>56.010398544869844</c:v>
                </c:pt>
                <c:pt idx="272">
                  <c:v>56.432152977426277</c:v>
                </c:pt>
                <c:pt idx="273">
                  <c:v>56.85531065790358</c:v>
                </c:pt>
                <c:pt idx="274">
                  <c:v>57.279867598874148</c:v>
                </c:pt>
                <c:pt idx="275">
                  <c:v>57.705819803588319</c:v>
                </c:pt>
                <c:pt idx="276">
                  <c:v>58.133163266051589</c:v>
                </c:pt>
                <c:pt idx="277">
                  <c:v>58.561893971101398</c:v>
                </c:pt>
                <c:pt idx="278">
                  <c:v>58.992007894483557</c:v>
                </c:pt>
                <c:pt idx="279">
                  <c:v>59.423501002928248</c:v>
                </c:pt>
                <c:pt idx="280">
                  <c:v>59.856369254225704</c:v>
                </c:pt>
                <c:pt idx="281">
                  <c:v>60.290608597301457</c:v>
                </c:pt>
                <c:pt idx="282">
                  <c:v>60.726214972291245</c:v>
                </c:pt>
                <c:pt idx="283">
                  <c:v>61.163184310615527</c:v>
                </c:pt>
                <c:pt idx="284">
                  <c:v>61.601512897142548</c:v>
                </c:pt>
                <c:pt idx="285">
                  <c:v>62.041197733029307</c:v>
                </c:pt>
                <c:pt idx="286">
                  <c:v>62.482236174447365</c:v>
                </c:pt>
                <c:pt idx="287">
                  <c:v>62.924625570618304</c:v>
                </c:pt>
                <c:pt idx="288">
                  <c:v>63.368363263863159</c:v>
                </c:pt>
                <c:pt idx="289">
                  <c:v>63.813446589651683</c:v>
                </c:pt>
                <c:pt idx="290">
                  <c:v>64.259872876651329</c:v>
                </c:pt>
                <c:pt idx="291">
                  <c:v>64.707639446776113</c:v>
                </c:pt>
                <c:pt idx="292">
                  <c:v>65.156743615235186</c:v>
                </c:pt>
                <c:pt idx="293">
                  <c:v>65.607182690581311</c:v>
                </c:pt>
                <c:pt idx="294">
                  <c:v>66.058953974759063</c:v>
                </c:pt>
                <c:pt idx="295">
                  <c:v>66.512054763152832</c:v>
                </c:pt>
                <c:pt idx="296">
                  <c:v>66.96648234463467</c:v>
                </c:pt>
                <c:pt idx="297">
                  <c:v>67.422234001611955</c:v>
                </c:pt>
                <c:pt idx="298">
                  <c:v>67.879307010074768</c:v>
                </c:pt>
                <c:pt idx="299">
                  <c:v>68.337698639643222</c:v>
                </c:pt>
                <c:pt idx="300">
                  <c:v>68.797406153614432</c:v>
                </c:pt>
                <c:pt idx="301">
                  <c:v>69.25842680900945</c:v>
                </c:pt>
                <c:pt idx="302">
                  <c:v>69.720757856619898</c:v>
                </c:pt>
                <c:pt idx="303">
                  <c:v>70.184396541054483</c:v>
                </c:pt>
                <c:pt idx="304">
                  <c:v>70.649340100785295</c:v>
                </c:pt>
                <c:pt idx="305">
                  <c:v>71.11558576819391</c:v>
                </c:pt>
                <c:pt idx="306">
                  <c:v>71.583130769617327</c:v>
                </c:pt>
                <c:pt idx="307">
                  <c:v>72.051972325393706</c:v>
                </c:pt>
                <c:pt idx="308">
                  <c:v>72.522107649907937</c:v>
                </c:pt>
                <c:pt idx="309">
                  <c:v>72.993533951637019</c:v>
                </c:pt>
                <c:pt idx="310">
                  <c:v>73.466248433195261</c:v>
                </c:pt>
                <c:pt idx="311">
                  <c:v>73.940248291379291</c:v>
                </c:pt>
                <c:pt idx="312">
                  <c:v>74.415530717212903</c:v>
                </c:pt>
                <c:pt idx="313">
                  <c:v>74.892092895991695</c:v>
                </c:pt>
                <c:pt idx="314">
                  <c:v>75.369932007327563</c:v>
                </c:pt>
                <c:pt idx="315">
                  <c:v>75.849045225193009</c:v>
                </c:pt>
                <c:pt idx="316">
                  <c:v>76.329429717965255</c:v>
                </c:pt>
                <c:pt idx="317">
                  <c:v>76.811082648470162</c:v>
                </c:pt>
                <c:pt idx="318">
                  <c:v>77.294001174026079</c:v>
                </c:pt>
                <c:pt idx="319">
                  <c:v>77.778182446487349</c:v>
                </c:pt>
                <c:pt idx="320">
                  <c:v>78.263623612287816</c:v>
                </c:pt>
                <c:pt idx="321">
                  <c:v>78.750321812484017</c:v>
                </c:pt>
                <c:pt idx="322">
                  <c:v>79.238274182798293</c:v>
                </c:pt>
                <c:pt idx="323">
                  <c:v>79.727477853661654</c:v>
                </c:pt>
                <c:pt idx="324">
                  <c:v>80.217929950256575</c:v>
                </c:pt>
                <c:pt idx="325">
                  <c:v>80.709627592559499</c:v>
                </c:pt>
                <c:pt idx="326">
                  <c:v>81.202567918081954</c:v>
                </c:pt>
                <c:pt idx="327">
                  <c:v>81.696748104646375</c:v>
                </c:pt>
                <c:pt idx="328">
                  <c:v>82.192165347764018</c:v>
                </c:pt>
                <c:pt idx="329">
                  <c:v>82.688816837977029</c:v>
                </c:pt>
                <c:pt idx="330">
                  <c:v>83.186699760899032</c:v>
                </c:pt>
                <c:pt idx="331">
                  <c:v>83.685811297255484</c:v>
                </c:pt>
                <c:pt idx="332">
                  <c:v>84.186148622923866</c:v>
                </c:pt>
                <c:pt idx="333">
                  <c:v>84.687708908973761</c:v>
                </c:pt>
                <c:pt idx="334">
                  <c:v>85.190489321706721</c:v>
                </c:pt>
                <c:pt idx="335">
                  <c:v>85.694487022696038</c:v>
                </c:pt>
                <c:pt idx="336">
                  <c:v>86.199699168826285</c:v>
                </c:pt>
                <c:pt idx="337">
                  <c:v>86.706122912332759</c:v>
                </c:pt>
                <c:pt idx="338">
                  <c:v>87.213755400840697</c:v>
                </c:pt>
                <c:pt idx="339">
                  <c:v>87.722593777404441</c:v>
                </c:pt>
                <c:pt idx="340">
                  <c:v>88.232635180546353</c:v>
                </c:pt>
                <c:pt idx="341">
                  <c:v>88.743876744295619</c:v>
                </c:pt>
                <c:pt idx="342">
                  <c:v>89.256315598226848</c:v>
                </c:pt>
                <c:pt idx="343">
                  <c:v>89.769948867498599</c:v>
                </c:pt>
                <c:pt idx="344">
                  <c:v>90.284773672891689</c:v>
                </c:pt>
                <c:pt idx="345">
                  <c:v>90.800787130847368</c:v>
                </c:pt>
                <c:pt idx="346">
                  <c:v>91.317986353505319</c:v>
                </c:pt>
                <c:pt idx="347">
                  <c:v>91.836368448741538</c:v>
                </c:pt>
                <c:pt idx="348">
                  <c:v>92.355930520206044</c:v>
                </c:pt>
                <c:pt idx="349">
                  <c:v>92.876669667360403</c:v>
                </c:pt>
                <c:pt idx="350">
                  <c:v>93.398582985515191</c:v>
                </c:pt>
                <c:pt idx="351">
                  <c:v>93.921667565867182</c:v>
                </c:pt>
                <c:pt idx="352">
                  <c:v>94.445920495536498</c:v>
                </c:pt>
                <c:pt idx="353">
                  <c:v>94.971338857603499</c:v>
                </c:pt>
                <c:pt idx="354">
                  <c:v>95.497919731145629</c:v>
                </c:pt>
                <c:pt idx="355">
                  <c:v>96.025660191274028</c:v>
                </c:pt>
                <c:pt idx="356">
                  <c:v>96.554557309170036</c:v>
                </c:pt>
                <c:pt idx="357">
                  <c:v>97.084608152121518</c:v>
                </c:pt>
                <c:pt idx="358">
                  <c:v>97.615809783559058</c:v>
                </c:pt>
                <c:pt idx="359">
                  <c:v>98.148159263092026</c:v>
                </c:pt>
                <c:pt idx="360">
                  <c:v>98.681653646544419</c:v>
                </c:pt>
                <c:pt idx="361">
                  <c:v>99.216289985990628</c:v>
                </c:pt>
                <c:pt idx="362">
                  <c:v>99.752065329791037</c:v>
                </c:pt>
                <c:pt idx="363">
                  <c:v>100.28897672262744</c:v>
                </c:pt>
                <c:pt idx="364">
                  <c:v>100.82702120553832</c:v>
                </c:pt>
                <c:pt idx="365">
                  <c:v>101.36619581595401</c:v>
                </c:pt>
                <c:pt idx="366">
                  <c:v>101.90649817339263</c:v>
                </c:pt>
                <c:pt idx="367">
                  <c:v>102.44792706590039</c:v>
                </c:pt>
                <c:pt idx="368">
                  <c:v>102.99048186506408</c:v>
                </c:pt>
                <c:pt idx="369">
                  <c:v>103.53416194026718</c:v>
                </c:pt>
                <c:pt idx="370">
                  <c:v>104.07896665870106</c:v>
                </c:pt>
                <c:pt idx="371">
                  <c:v>104.62489538537619</c:v>
                </c:pt>
                <c:pt idx="372">
                  <c:v>105.17194748313337</c:v>
                </c:pt>
                <c:pt idx="373">
                  <c:v>105.72012231265482</c:v>
                </c:pt>
                <c:pt idx="374">
                  <c:v>106.26941923247541</c:v>
                </c:pt>
                <c:pt idx="375">
                  <c:v>106.81983759899377</c:v>
                </c:pt>
                <c:pt idx="376">
                  <c:v>107.37137676648335</c:v>
                </c:pt>
                <c:pt idx="377">
                  <c:v>107.92403608710359</c:v>
                </c:pt>
                <c:pt idx="378">
                  <c:v>108.47781491091089</c:v>
                </c:pt>
                <c:pt idx="379">
                  <c:v>109.03271258586979</c:v>
                </c:pt>
                <c:pt idx="380">
                  <c:v>109.58872845786387</c:v>
                </c:pt>
                <c:pt idx="381">
                  <c:v>110.14586123461218</c:v>
                </c:pt>
                <c:pt idx="382">
                  <c:v>110.70410834881766</c:v>
                </c:pt>
                <c:pt idx="383">
                  <c:v>111.26346659364705</c:v>
                </c:pt>
                <c:pt idx="384">
                  <c:v>111.82393275899133</c:v>
                </c:pt>
                <c:pt idx="385">
                  <c:v>112.38550363150136</c:v>
                </c:pt>
                <c:pt idx="386">
                  <c:v>112.94817599462338</c:v>
                </c:pt>
                <c:pt idx="387">
                  <c:v>113.51194662863435</c:v>
                </c:pt>
                <c:pt idx="388">
                  <c:v>114.07681231067714</c:v>
                </c:pt>
                <c:pt idx="389">
                  <c:v>114.64276981479559</c:v>
                </c:pt>
                <c:pt idx="390">
                  <c:v>115.20981591196929</c:v>
                </c:pt>
                <c:pt idx="391">
                  <c:v>115.77794737014838</c:v>
                </c:pt>
                <c:pt idx="392">
                  <c:v>116.34716095428804</c:v>
                </c:pt>
                <c:pt idx="393">
                  <c:v>116.91745342638288</c:v>
                </c:pt>
                <c:pt idx="394">
                  <c:v>117.48882154550112</c:v>
                </c:pt>
                <c:pt idx="395">
                  <c:v>118.06126206781876</c:v>
                </c:pt>
                <c:pt idx="396">
                  <c:v>118.63477174665339</c:v>
                </c:pt>
                <c:pt idx="397">
                  <c:v>119.20934733249796</c:v>
                </c:pt>
                <c:pt idx="398">
                  <c:v>119.78498557305437</c:v>
                </c:pt>
                <c:pt idx="399">
                  <c:v>120.36168321326691</c:v>
                </c:pt>
                <c:pt idx="400">
                  <c:v>120.93943699535552</c:v>
                </c:pt>
                <c:pt idx="401">
                  <c:v>121.51824315551133</c:v>
                </c:pt>
                <c:pt idx="402">
                  <c:v>122.09809692004792</c:v>
                </c:pt>
                <c:pt idx="403">
                  <c:v>122.67899300838069</c:v>
                </c:pt>
                <c:pt idx="404">
                  <c:v>123.26092613656185</c:v>
                </c:pt>
                <c:pt idx="405">
                  <c:v>123.84389101733657</c:v>
                </c:pt>
                <c:pt idx="406">
                  <c:v>124.42788236019858</c:v>
                </c:pt>
                <c:pt idx="407">
                  <c:v>125.01289487144558</c:v>
                </c:pt>
                <c:pt idx="408">
                  <c:v>125.59892325423424</c:v>
                </c:pt>
                <c:pt idx="409">
                  <c:v>126.18596220863483</c:v>
                </c:pt>
                <c:pt idx="410">
                  <c:v>126.77400643168561</c:v>
                </c:pt>
                <c:pt idx="411">
                  <c:v>127.36304782842613</c:v>
                </c:pt>
                <c:pt idx="412">
                  <c:v>127.9530727201568</c:v>
                </c:pt>
                <c:pt idx="413">
                  <c:v>128.54406463175678</c:v>
                </c:pt>
                <c:pt idx="414">
                  <c:v>129.13600708188241</c:v>
                </c:pt>
                <c:pt idx="415">
                  <c:v>129.72888358323289</c:v>
                </c:pt>
                <c:pt idx="416">
                  <c:v>130.32267764281343</c:v>
                </c:pt>
                <c:pt idx="417">
                  <c:v>130.91737276219595</c:v>
                </c:pt>
                <c:pt idx="418">
                  <c:v>131.51295243777696</c:v>
                </c:pt>
                <c:pt idx="419">
                  <c:v>132.10940016103294</c:v>
                </c:pt>
                <c:pt idx="420">
                  <c:v>132.70669782827994</c:v>
                </c:pt>
                <c:pt idx="421">
                  <c:v>133.30482414910654</c:v>
                </c:pt>
                <c:pt idx="422">
                  <c:v>133.90375623652938</c:v>
                </c:pt>
                <c:pt idx="423">
                  <c:v>134.5034711985605</c:v>
                </c:pt>
                <c:pt idx="424">
                  <c:v>135.10394613862985</c:v>
                </c:pt>
                <c:pt idx="425">
                  <c:v>135.70515815600274</c:v>
                </c:pt>
                <c:pt idx="426">
                  <c:v>136.30708434619265</c:v>
                </c:pt>
                <c:pt idx="427">
                  <c:v>136.90970180136915</c:v>
                </c:pt>
                <c:pt idx="428">
                  <c:v>137.51298761076086</c:v>
                </c:pt>
                <c:pt idx="429">
                  <c:v>138.11691886105365</c:v>
                </c:pt>
                <c:pt idx="430">
                  <c:v>138.721472636784</c:v>
                </c:pt>
                <c:pt idx="431">
                  <c:v>139.32662602072747</c:v>
                </c:pt>
                <c:pt idx="432">
                  <c:v>139.93235352262198</c:v>
                </c:pt>
                <c:pt idx="433">
                  <c:v>140.53862450641989</c:v>
                </c:pt>
                <c:pt idx="434">
                  <c:v>141.14540576242595</c:v>
                </c:pt>
                <c:pt idx="435">
                  <c:v>141.752664081082</c:v>
                </c:pt>
                <c:pt idx="436">
                  <c:v>142.36036625369863</c:v>
                </c:pt>
                <c:pt idx="437">
                  <c:v>142.96847907317681</c:v>
                </c:pt>
                <c:pt idx="438">
                  <c:v>143.57696933471934</c:v>
                </c:pt>
                <c:pt idx="439">
                  <c:v>144.18580383653207</c:v>
                </c:pt>
                <c:pt idx="440">
                  <c:v>144.79494938051516</c:v>
                </c:pt>
                <c:pt idx="441">
                  <c:v>145.40437277294401</c:v>
                </c:pt>
                <c:pt idx="442">
                  <c:v>146.01404239170034</c:v>
                </c:pt>
                <c:pt idx="443">
                  <c:v>146.62392975394602</c:v>
                </c:pt>
                <c:pt idx="444">
                  <c:v>147.23400794948964</c:v>
                </c:pt>
                <c:pt idx="445">
                  <c:v>147.84425007357973</c:v>
                </c:pt>
                <c:pt idx="446">
                  <c:v>148.45462922731525</c:v>
                </c:pt>
                <c:pt idx="447">
                  <c:v>149.06511851804959</c:v>
                </c:pt>
                <c:pt idx="448">
                  <c:v>149.67569105978777</c:v>
                </c:pt>
                <c:pt idx="449">
                  <c:v>150.28631997357698</c:v>
                </c:pt>
                <c:pt idx="450">
                  <c:v>150.89697838789027</c:v>
                </c:pt>
                <c:pt idx="451">
                  <c:v>151.50763943900367</c:v>
                </c:pt>
                <c:pt idx="452">
                  <c:v>152.11827627136648</c:v>
                </c:pt>
                <c:pt idx="453">
                  <c:v>152.7288642892168</c:v>
                </c:pt>
                <c:pt idx="454">
                  <c:v>153.33938340834453</c:v>
                </c:pt>
                <c:pt idx="455">
                  <c:v>153.9498158034491</c:v>
                </c:pt>
                <c:pt idx="456">
                  <c:v>154.56014365523157</c:v>
                </c:pt>
                <c:pt idx="457">
                  <c:v>155.17034915052338</c:v>
                </c:pt>
                <c:pt idx="458">
                  <c:v>155.78041448241234</c:v>
                </c:pt>
                <c:pt idx="459">
                  <c:v>156.39032185036567</c:v>
                </c:pt>
                <c:pt idx="460">
                  <c:v>157.00005346034999</c:v>
                </c:pt>
                <c:pt idx="461">
                  <c:v>157.60959355649703</c:v>
                </c:pt>
                <c:pt idx="462">
                  <c:v>158.21893045272444</c:v>
                </c:pt>
                <c:pt idx="463">
                  <c:v>158.8280544994972</c:v>
                </c:pt>
                <c:pt idx="464">
                  <c:v>159.43695605058062</c:v>
                </c:pt>
                <c:pt idx="465">
                  <c:v>160.04562546305172</c:v>
                </c:pt>
                <c:pt idx="466">
                  <c:v>160.65405138758251</c:v>
                </c:pt>
                <c:pt idx="467">
                  <c:v>161.26221905880797</c:v>
                </c:pt>
                <c:pt idx="468">
                  <c:v>161.87009295269164</c:v>
                </c:pt>
                <c:pt idx="469">
                  <c:v>162.47762277223023</c:v>
                </c:pt>
                <c:pt idx="470">
                  <c:v>163.08478584403301</c:v>
                </c:pt>
                <c:pt idx="471">
                  <c:v>163.69158283972735</c:v>
                </c:pt>
                <c:pt idx="472">
                  <c:v>164.29801442921709</c:v>
                </c:pt>
                <c:pt idx="473">
                  <c:v>164.90408128068867</c:v>
                </c:pt>
                <c:pt idx="474">
                  <c:v>165.50978406061708</c:v>
                </c:pt>
                <c:pt idx="475">
                  <c:v>166.11512343377197</c:v>
                </c:pt>
                <c:pt idx="476">
                  <c:v>166.72010006322361</c:v>
                </c:pt>
                <c:pt idx="477">
                  <c:v>167.32471461034896</c:v>
                </c:pt>
                <c:pt idx="478">
                  <c:v>167.92896773483747</c:v>
                </c:pt>
                <c:pt idx="479">
                  <c:v>168.53286009469716</c:v>
                </c:pt>
                <c:pt idx="480">
                  <c:v>169.13639234626038</c:v>
                </c:pt>
                <c:pt idx="481">
                  <c:v>169.73956514418984</c:v>
                </c:pt>
                <c:pt idx="482">
                  <c:v>170.34237914148432</c:v>
                </c:pt>
                <c:pt idx="483">
                  <c:v>170.94483498948455</c:v>
                </c:pt>
                <c:pt idx="484">
                  <c:v>171.54693333787901</c:v>
                </c:pt>
                <c:pt idx="485">
                  <c:v>172.14867483470971</c:v>
                </c:pt>
                <c:pt idx="486">
                  <c:v>172.75006012637792</c:v>
                </c:pt>
                <c:pt idx="487">
                  <c:v>173.35108985764987</c:v>
                </c:pt>
                <c:pt idx="488">
                  <c:v>173.95176467166246</c:v>
                </c:pt>
                <c:pt idx="489">
                  <c:v>174.55208520992898</c:v>
                </c:pt>
                <c:pt idx="490">
                  <c:v>175.15205211234468</c:v>
                </c:pt>
                <c:pt idx="491">
                  <c:v>175.75166601719243</c:v>
                </c:pt>
                <c:pt idx="492">
                  <c:v>176.35092756114835</c:v>
                </c:pt>
                <c:pt idx="493">
                  <c:v>176.94983737928732</c:v>
                </c:pt>
                <c:pt idx="494">
                  <c:v>177.5483961050885</c:v>
                </c:pt>
                <c:pt idx="495">
                  <c:v>178.146604370441</c:v>
                </c:pt>
                <c:pt idx="496">
                  <c:v>178.74446280564922</c:v>
                </c:pt>
                <c:pt idx="497">
                  <c:v>179.34197203943842</c:v>
                </c:pt>
                <c:pt idx="498">
                  <c:v>179.93913269896015</c:v>
                </c:pt>
                <c:pt idx="499">
                  <c:v>180.53594540979768</c:v>
                </c:pt>
                <c:pt idx="500">
                  <c:v>181.13241079597137</c:v>
                </c:pt>
                <c:pt idx="501">
                  <c:v>187.07801002457887</c:v>
                </c:pt>
                <c:pt idx="502">
                  <c:v>192.9892785132819</c:v>
                </c:pt>
                <c:pt idx="503">
                  <c:v>198.86682546491835</c:v>
                </c:pt>
                <c:pt idx="504">
                  <c:v>204.71124516019424</c:v>
                </c:pt>
                <c:pt idx="505">
                  <c:v>210.52311745864375</c:v>
                </c:pt>
                <c:pt idx="506">
                  <c:v>216.30300827860449</c:v>
                </c:pt>
                <c:pt idx="507">
                  <c:v>222.05147005726116</c:v>
                </c:pt>
                <c:pt idx="508">
                  <c:v>227.76904219174972</c:v>
                </c:pt>
                <c:pt idx="509">
                  <c:v>233.45625146225657</c:v>
                </c:pt>
                <c:pt idx="510">
                  <c:v>239.1136124379934</c:v>
                </c:pt>
                <c:pt idx="511">
                  <c:v>244.74162786687828</c:v>
                </c:pt>
                <c:pt idx="512">
                  <c:v>250.3407890497071</c:v>
                </c:pt>
                <c:pt idx="513">
                  <c:v>255.91157619955493</c:v>
                </c:pt>
                <c:pt idx="514">
                  <c:v>261.45445878710615</c:v>
                </c:pt>
                <c:pt idx="515">
                  <c:v>266.96989587257377</c:v>
                </c:pt>
                <c:pt idx="516">
                  <c:v>272.45833642483177</c:v>
                </c:pt>
                <c:pt idx="517">
                  <c:v>277.92021962835128</c:v>
                </c:pt>
                <c:pt idx="518">
                  <c:v>283.35597517849902</c:v>
                </c:pt>
                <c:pt idx="519">
                  <c:v>288.76602356572636</c:v>
                </c:pt>
                <c:pt idx="520">
                  <c:v>294.15077634915065</c:v>
                </c:pt>
                <c:pt idx="521">
                  <c:v>299.51063642000224</c:v>
                </c:pt>
                <c:pt idx="522">
                  <c:v>304.845998255388</c:v>
                </c:pt>
                <c:pt idx="523">
                  <c:v>310.15724816279663</c:v>
                </c:pt>
                <c:pt idx="524">
                  <c:v>315.44476451575144</c:v>
                </c:pt>
                <c:pt idx="525">
                  <c:v>320.70891798099342</c:v>
                </c:pt>
                <c:pt idx="526">
                  <c:v>325.95007173755982</c:v>
                </c:pt>
                <c:pt idx="527">
                  <c:v>331.16858168810421</c:v>
                </c:pt>
                <c:pt idx="528">
                  <c:v>336.3647966627866</c:v>
                </c:pt>
                <c:pt idx="529">
                  <c:v>341.53905861604665</c:v>
                </c:pt>
                <c:pt idx="530">
                  <c:v>346.6917028165567</c:v>
                </c:pt>
                <c:pt idx="531">
                  <c:v>351.8230580306377</c:v>
                </c:pt>
                <c:pt idx="532">
                  <c:v>356.933446699407</c:v>
                </c:pt>
                <c:pt idx="533">
                  <c:v>362.02318510991353</c:v>
                </c:pt>
                <c:pt idx="534">
                  <c:v>367.09258356050498</c:v>
                </c:pt>
                <c:pt idx="535">
                  <c:v>372.14194652065817</c:v>
                </c:pt>
                <c:pt idx="536">
                  <c:v>377.17157278549479</c:v>
                </c:pt>
                <c:pt idx="537">
                  <c:v>382.18175562519252</c:v>
                </c:pt>
                <c:pt idx="538">
                  <c:v>387.17278292949328</c:v>
                </c:pt>
                <c:pt idx="539">
                  <c:v>392.14493734749954</c:v>
                </c:pt>
                <c:pt idx="540">
                  <c:v>397.09849642294228</c:v>
                </c:pt>
                <c:pt idx="541">
                  <c:v>402.03373272509481</c:v>
                </c:pt>
                <c:pt idx="542">
                  <c:v>406.95091397549885</c:v>
                </c:pt>
                <c:pt idx="543">
                  <c:v>411.8503031706623</c:v>
                </c:pt>
                <c:pt idx="544">
                  <c:v>416.73215870088018</c:v>
                </c:pt>
                <c:pt idx="545">
                  <c:v>421.59673446532446</c:v>
                </c:pt>
                <c:pt idx="546">
                  <c:v>426.44427998354087</c:v>
                </c:pt>
                <c:pt idx="547">
                  <c:v>431.27504050348551</c:v>
                </c:pt>
                <c:pt idx="548">
                  <c:v>436.0892571062281</c:v>
                </c:pt>
                <c:pt idx="549">
                  <c:v>440.88716680744278</c:v>
                </c:pt>
                <c:pt idx="550">
                  <c:v>445.66900265580273</c:v>
                </c:pt>
                <c:pt idx="551">
                  <c:v>450.43499382838928</c:v>
                </c:pt>
                <c:pt idx="552">
                  <c:v>455.18536572322159</c:v>
                </c:pt>
                <c:pt idx="553">
                  <c:v>459.92034004900898</c:v>
                </c:pt>
                <c:pt idx="554">
                  <c:v>464.64013491222244</c:v>
                </c:pt>
                <c:pt idx="555">
                  <c:v>469.34496490157915</c:v>
                </c:pt>
                <c:pt idx="556">
                  <c:v>474.03504117002876</c:v>
                </c:pt>
                <c:pt idx="557">
                  <c:v>478.71057151432706</c:v>
                </c:pt>
                <c:pt idx="558">
                  <c:v>483.37176045227881</c:v>
                </c:pt>
                <c:pt idx="559">
                  <c:v>488.01880929772818</c:v>
                </c:pt>
                <c:pt idx="560">
                  <c:v>492.65191623337216</c:v>
                </c:pt>
                <c:pt idx="561">
                  <c:v>497.27127638146851</c:v>
                </c:pt>
                <c:pt idx="562">
                  <c:v>501.87708187250774</c:v>
                </c:pt>
                <c:pt idx="563">
                  <c:v>506.46952191191519</c:v>
                </c:pt>
                <c:pt idx="564">
                  <c:v>511.04878284484647</c:v>
                </c:pt>
                <c:pt idx="565">
                  <c:v>515.61504821913729</c:v>
                </c:pt>
                <c:pt idx="566">
                  <c:v>520.16849884646615</c:v>
                </c:pt>
                <c:pt idx="567">
                  <c:v>524.70931286178529</c:v>
                </c:pt>
                <c:pt idx="568">
                  <c:v>529.23766578107393</c:v>
                </c:pt>
                <c:pt idx="569">
                  <c:v>533.75373055746536</c:v>
                </c:pt>
                <c:pt idx="570">
                  <c:v>538.25767763579654</c:v>
                </c:pt>
                <c:pt idx="571">
                  <c:v>542.74967500562821</c:v>
                </c:pt>
                <c:pt idx="572">
                  <c:v>547.22988825278014</c:v>
                </c:pt>
                <c:pt idx="573">
                  <c:v>551.69848060942525</c:v>
                </c:pt>
                <c:pt idx="574">
                  <c:v>556.15561300278398</c:v>
                </c:pt>
                <c:pt idx="575">
                  <c:v>560.60144410245937</c:v>
                </c:pt>
                <c:pt idx="576">
                  <c:v>565.03613036644981</c:v>
                </c:pt>
                <c:pt idx="577">
                  <c:v>569.45982608587735</c:v>
                </c:pt>
                <c:pt idx="578">
                  <c:v>573.87268342846494</c:v>
                </c:pt>
                <c:pt idx="579">
                  <c:v>578.27485248079824</c:v>
                </c:pt>
                <c:pt idx="580">
                  <c:v>582.66648128940119</c:v>
                </c:pt>
                <c:pt idx="581">
                  <c:v>587.04771590065855</c:v>
                </c:pt>
                <c:pt idx="582">
                  <c:v>591.41870039961282</c:v>
                </c:pt>
                <c:pt idx="583">
                  <c:v>595.77957694766394</c:v>
                </c:pt>
                <c:pt idx="584">
                  <c:v>600.13048581919827</c:v>
                </c:pt>
                <c:pt idx="585">
                  <c:v>604.47156543717256</c:v>
                </c:pt>
                <c:pt idx="586">
                  <c:v>608.80295240767589</c:v>
                </c:pt>
                <c:pt idx="587">
                  <c:v>613.12478155349356</c:v>
                </c:pt>
                <c:pt idx="588">
                  <c:v>617.43718594669383</c:v>
                </c:pt>
                <c:pt idx="589">
                  <c:v>621.74029694025853</c:v>
                </c:pt>
                <c:pt idx="590">
                  <c:v>626.03424419877661</c:v>
                </c:pt>
                <c:pt idx="591">
                  <c:v>630.31915572821867</c:v>
                </c:pt>
                <c:pt idx="592">
                  <c:v>634.59515790481078</c:v>
                </c:pt>
                <c:pt idx="593">
                  <c:v>638.86237550302246</c:v>
                </c:pt>
                <c:pt idx="594">
                  <c:v>643.12093172268465</c:v>
                </c:pt>
                <c:pt idx="595">
                  <c:v>647.37094821525181</c:v>
                </c:pt>
                <c:pt idx="596">
                  <c:v>651.61254510922072</c:v>
                </c:pt>
                <c:pt idx="597">
                  <c:v>655.84584103471821</c:v>
                </c:pt>
                <c:pt idx="598">
                  <c:v>660.07095314726939</c:v>
                </c:pt>
                <c:pt idx="599">
                  <c:v>664.28799715075547</c:v>
                </c:pt>
                <c:pt idx="600">
                  <c:v>668.49708731957105</c:v>
                </c:pt>
                <c:pt idx="601">
                  <c:v>672.69833651998863</c:v>
                </c:pt>
                <c:pt idx="602">
                  <c:v>676.89185623073672</c:v>
                </c:pt>
                <c:pt idx="603">
                  <c:v>681.07775656279921</c:v>
                </c:pt>
                <c:pt idx="604">
                  <c:v>685.25614627843959</c:v>
                </c:pt>
                <c:pt idx="605">
                  <c:v>689.42713280945463</c:v>
                </c:pt>
                <c:pt idx="606">
                  <c:v>693.59082227466081</c:v>
                </c:pt>
                <c:pt idx="607">
                  <c:v>697.74731949661521</c:v>
                </c:pt>
                <c:pt idx="608">
                  <c:v>701.89672801757229</c:v>
                </c:pt>
                <c:pt idx="609">
                  <c:v>706.03915011467609</c:v>
                </c:pt>
                <c:pt idx="610">
                  <c:v>710.17468681438788</c:v>
                </c:pt>
                <c:pt idx="611">
                  <c:v>714.30343790614563</c:v>
                </c:pt>
                <c:pt idx="612">
                  <c:v>718.42550195525371</c:v>
                </c:pt>
                <c:pt idx="613">
                  <c:v>722.54097631499815</c:v>
                </c:pt>
                <c:pt idx="614">
                  <c:v>726.64995713798191</c:v>
                </c:pt>
                <c:pt idx="615">
                  <c:v>730.75253938667493</c:v>
                </c:pt>
                <c:pt idx="616">
                  <c:v>734.84881684316986</c:v>
                </c:pt>
                <c:pt idx="617">
                  <c:v>738.93888211813749</c:v>
                </c:pt>
                <c:pt idx="618">
                  <c:v>743.02282665896962</c:v>
                </c:pt>
                <c:pt idx="619">
                  <c:v>747.10074075710156</c:v>
                </c:pt>
                <c:pt idx="620">
                  <c:v>751.17271355450021</c:v>
                </c:pt>
                <c:pt idx="621">
                  <c:v>755.23883304930632</c:v>
                </c:pt>
                <c:pt idx="622">
                  <c:v>759.29918610061679</c:v>
                </c:pt>
                <c:pt idx="623">
                  <c:v>763.35385843239226</c:v>
                </c:pt>
                <c:pt idx="624">
                  <c:v>767.40293463647379</c:v>
                </c:pt>
                <c:pt idx="625">
                  <c:v>771.44649817469224</c:v>
                </c:pt>
                <c:pt idx="626">
                  <c:v>775.48463138005206</c:v>
                </c:pt>
                <c:pt idx="627">
                  <c:v>779.51741545697121</c:v>
                </c:pt>
                <c:pt idx="628">
                  <c:v>783.54493048055804</c:v>
                </c:pt>
                <c:pt idx="629">
                  <c:v>787.56725539490424</c:v>
                </c:pt>
                <c:pt idx="630">
                  <c:v>791.58446801037348</c:v>
                </c:pt>
                <c:pt idx="631">
                  <c:v>795.59664499986479</c:v>
                </c:pt>
                <c:pt idx="632">
                  <c:v>799.60386189402902</c:v>
                </c:pt>
                <c:pt idx="633">
                  <c:v>803.60619307541617</c:v>
                </c:pt>
                <c:pt idx="634">
                  <c:v>807.60371177153286</c:v>
                </c:pt>
                <c:pt idx="635">
                  <c:v>811.59649004678829</c:v>
                </c:pt>
                <c:pt idx="636">
                  <c:v>815.5845987933078</c:v>
                </c:pt>
                <c:pt idx="637">
                  <c:v>819.56810772059521</c:v>
                </c:pt>
                <c:pt idx="638">
                  <c:v>823.54708534402437</c:v>
                </c:pt>
                <c:pt idx="639">
                  <c:v>827.52159897214381</c:v>
                </c:pt>
                <c:pt idx="640">
                  <c:v>831.49171469278053</c:v>
                </c:pt>
                <c:pt idx="641">
                  <c:v>835.45749735793027</c:v>
                </c:pt>
                <c:pt idx="642">
                  <c:v>839.4190105674262</c:v>
                </c:pt>
                <c:pt idx="643">
                  <c:v>843.37631665138144</c:v>
                </c:pt>
                <c:pt idx="644">
                  <c:v>847.329476651405</c:v>
                </c:pt>
                <c:pt idx="645">
                  <c:v>851.27855030059777</c:v>
                </c:pt>
                <c:pt idx="646">
                  <c:v>855.22359600233858</c:v>
                </c:pt>
                <c:pt idx="647">
                  <c:v>859.16467080788027</c:v>
                </c:pt>
                <c:pt idx="648">
                  <c:v>863.10183039278195</c:v>
                </c:pt>
                <c:pt idx="649">
                  <c:v>867.03512903221292</c:v>
                </c:pt>
                <c:pt idx="650">
                  <c:v>870.9646195751742</c:v>
                </c:pt>
                <c:pt idx="651">
                  <c:v>874.89035341769375</c:v>
                </c:pt>
                <c:pt idx="652">
                  <c:v>878.81238047506372</c:v>
                </c:pt>
                <c:pt idx="653">
                  <c:v>882.73074915320126</c:v>
                </c:pt>
                <c:pt idx="654">
                  <c:v>886.64550631922748</c:v>
                </c:pt>
                <c:pt idx="655">
                  <c:v>890.55669727137445</c:v>
                </c:pt>
                <c:pt idx="656">
                  <c:v>894.46436570834442</c:v>
                </c:pt>
                <c:pt idx="657">
                  <c:v>898.36855369826208</c:v>
                </c:pt>
                <c:pt idx="658">
                  <c:v>902.26930164737632</c:v>
                </c:pt>
                <c:pt idx="659">
                  <c:v>906.16664826868441</c:v>
                </c:pt>
                <c:pt idx="660">
                  <c:v>910.06063055066556</c:v>
                </c:pt>
                <c:pt idx="661">
                  <c:v>913.95128372632917</c:v>
                </c:pt>
                <c:pt idx="662">
                  <c:v>917.83864124279421</c:v>
                </c:pt>
                <c:pt idx="663">
                  <c:v>921.72273473163045</c:v>
                </c:pt>
                <c:pt idx="664">
                  <c:v>925.60359398020296</c:v>
                </c:pt>
                <c:pt idx="665">
                  <c:v>929.48124690426994</c:v>
                </c:pt>
                <c:pt idx="666">
                  <c:v>933.35571952208932</c:v>
                </c:pt>
                <c:pt idx="667">
                  <c:v>937.22703593029246</c:v>
                </c:pt>
                <c:pt idx="668">
                  <c:v>941.0952182817831</c:v>
                </c:pt>
                <c:pt idx="669">
                  <c:v>944.96028676591334</c:v>
                </c:pt>
                <c:pt idx="670">
                  <c:v>948.82225959118091</c:v>
                </c:pt>
                <c:pt idx="671">
                  <c:v>952.68115297067868</c:v>
                </c:pt>
                <c:pt idx="672">
                  <c:v>956.53698111050949</c:v>
                </c:pt>
                <c:pt idx="673">
                  <c:v>960.38975620135739</c:v>
                </c:pt>
                <c:pt idx="674">
                  <c:v>964.23948841338267</c:v>
                </c:pt>
                <c:pt idx="675">
                  <c:v>968.08618589457706</c:v>
                </c:pt>
                <c:pt idx="676">
                  <c:v>971.92985477268576</c:v>
                </c:pt>
                <c:pt idx="677">
                  <c:v>975.77049916076612</c:v>
                </c:pt>
                <c:pt idx="678">
                  <c:v>979.60812116641944</c:v>
                </c:pt>
                <c:pt idx="679">
                  <c:v>983.44272090469394</c:v>
                </c:pt>
                <c:pt idx="680">
                  <c:v>987.27429651462137</c:v>
                </c:pt>
                <c:pt idx="681">
                  <c:v>991.10284417931234</c:v>
                </c:pt>
                <c:pt idx="682">
                  <c:v>994.92835814950354</c:v>
                </c:pt>
                <c:pt idx="683">
                  <c:v>998.75083077041518</c:v>
                </c:pt>
                <c:pt idx="684">
                  <c:v>1002.5702525117512</c:v>
                </c:pt>
                <c:pt idx="685">
                  <c:v>1006.386612000646</c:v>
                </c:pt>
                <c:pt idx="686">
                  <c:v>1010.1998960573435</c:v>
                </c:pt>
                <c:pt idx="687">
                  <c:v>1014.0100897333743</c:v>
                </c:pt>
                <c:pt idx="688">
                  <c:v>1017.8171763519849</c:v>
                </c:pt>
                <c:pt idx="689">
                  <c:v>1021.6211375505643</c:v>
                </c:pt>
                <c:pt idx="690">
                  <c:v>1025.4219533248092</c:v>
                </c:pt>
                <c:pt idx="691">
                  <c:v>1029.219602074367</c:v>
                </c:pt>
                <c:pt idx="692">
                  <c:v>1033.0140606497005</c:v>
                </c:pt>
                <c:pt idx="693">
                  <c:v>1036.805304399925</c:v>
                </c:pt>
                <c:pt idx="694">
                  <c:v>1040.5933072213743</c:v>
                </c:pt>
                <c:pt idx="695">
                  <c:v>1044.3780416066677</c:v>
                </c:pt>
                <c:pt idx="696">
                  <c:v>1048.1594786940618</c:v>
                </c:pt>
                <c:pt idx="697">
                  <c:v>1051.9375883168852</c:v>
                </c:pt>
                <c:pt idx="698">
                  <c:v>1055.7123390528702</c:v>
                </c:pt>
                <c:pt idx="699">
                  <c:v>1059.4836982732129</c:v>
                </c:pt>
                <c:pt idx="700">
                  <c:v>1063.2516321912094</c:v>
                </c:pt>
                <c:pt idx="701">
                  <c:v>1067.0161059103318</c:v>
                </c:pt>
                <c:pt idx="702">
                  <c:v>1070.7770834716252</c:v>
                </c:pt>
                <c:pt idx="703">
                  <c:v>1074.5345279003213</c:v>
                </c:pt>
                <c:pt idx="704">
                  <c:v>1078.2884012515804</c:v>
                </c:pt>
                <c:pt idx="705">
                  <c:v>1082.0386646552868</c:v>
                </c:pt>
                <c:pt idx="706">
                  <c:v>1085.7852783598378</c:v>
                </c:pt>
                <c:pt idx="707">
                  <c:v>1089.5282017748746</c:v>
                </c:pt>
                <c:pt idx="708">
                  <c:v>1093.2673935129203</c:v>
                </c:pt>
                <c:pt idx="709">
                  <c:v>1097.0028114298959</c:v>
                </c:pt>
                <c:pt idx="710">
                  <c:v>1100.7344126644953</c:v>
                </c:pt>
                <c:pt idx="711">
                  <c:v>1104.4621536764098</c:v>
                </c:pt>
                <c:pt idx="712">
                  <c:v>1108.1859902834003</c:v>
                </c:pt>
                <c:pt idx="713">
                  <c:v>1111.905877697217</c:v>
                </c:pt>
                <c:pt idx="714">
                  <c:v>1115.6217705583779</c:v>
                </c:pt>
                <c:pt idx="715">
                  <c:v>1119.3336229698195</c:v>
                </c:pt>
                <c:pt idx="716">
                  <c:v>1123.0413885294352</c:v>
                </c:pt>
                <c:pt idx="717">
                  <c:v>1126.7450203615233</c:v>
                </c:pt>
                <c:pt idx="718">
                  <c:v>1130.4444711471683</c:v>
                </c:pt>
                <c:pt idx="719">
                  <c:v>1134.1396931535787</c:v>
                </c:pt>
                <c:pt idx="720">
                  <c:v>1137.8306382624121</c:v>
                </c:pt>
                <c:pt idx="721">
                  <c:v>1141.5172579971127</c:v>
                </c:pt>
                <c:pt idx="722">
                  <c:v>1145.199503549293</c:v>
                </c:pt>
                <c:pt idx="723">
                  <c:v>1148.8773258041895</c:v>
                </c:pt>
                <c:pt idx="724">
                  <c:v>1152.5506753652203</c:v>
                </c:pt>
                <c:pt idx="725">
                  <c:v>1156.2195025776796</c:v>
                </c:pt>
                <c:pt idx="726">
                  <c:v>1159.8837575515954</c:v>
                </c:pt>
                <c:pt idx="727">
                  <c:v>1163.5433901837837</c:v>
                </c:pt>
                <c:pt idx="728">
                  <c:v>1167.1983501791262</c:v>
                </c:pt>
                <c:pt idx="729">
                  <c:v>1170.8485870711029</c:v>
                </c:pt>
                <c:pt idx="730">
                  <c:v>1174.4940502416073</c:v>
                </c:pt>
                <c:pt idx="731">
                  <c:v>1178.134688940072</c:v>
                </c:pt>
                <c:pt idx="732">
                  <c:v>1181.7704523019327</c:v>
                </c:pt>
                <c:pt idx="733">
                  <c:v>1185.4012893664546</c:v>
                </c:pt>
                <c:pt idx="734">
                  <c:v>1189.0271490939501</c:v>
                </c:pt>
                <c:pt idx="735">
                  <c:v>1192.6479803824095</c:v>
                </c:pt>
                <c:pt idx="736">
                  <c:v>1196.2637320835697</c:v>
                </c:pt>
                <c:pt idx="737">
                  <c:v>1199.8743530184431</c:v>
                </c:pt>
                <c:pt idx="738">
                  <c:v>1203.4797919923299</c:v>
                </c:pt>
                <c:pt idx="739">
                  <c:v>1207.0799978093328</c:v>
                </c:pt>
                <c:pt idx="740">
                  <c:v>1210.674919286397</c:v>
                </c:pt>
                <c:pt idx="741">
                  <c:v>1214.2645052668909</c:v>
                </c:pt>
                <c:pt idx="742">
                  <c:v>1217.8487046337509</c:v>
                </c:pt>
                <c:pt idx="743">
                  <c:v>1221.4274663222043</c:v>
                </c:pt>
                <c:pt idx="744">
                  <c:v>1225.0007393320877</c:v>
                </c:pt>
                <c:pt idx="745">
                  <c:v>1228.5684727397795</c:v>
                </c:pt>
                <c:pt idx="746">
                  <c:v>1232.1306157097583</c:v>
                </c:pt>
                <c:pt idx="747">
                  <c:v>1235.687117505805</c:v>
                </c:pt>
                <c:pt idx="748">
                  <c:v>1239.2379275018607</c:v>
                </c:pt>
                <c:pt idx="749">
                  <c:v>1242.7829951925551</c:v>
                </c:pt>
                <c:pt idx="750">
                  <c:v>1246.3222702034166</c:v>
                </c:pt>
                <c:pt idx="751">
                  <c:v>1249.8557023007777</c:v>
                </c:pt>
                <c:pt idx="752">
                  <c:v>1253.3832414013862</c:v>
                </c:pt>
                <c:pt idx="753">
                  <c:v>1256.9048375817338</c:v>
                </c:pt>
                <c:pt idx="754">
                  <c:v>1260.4204410871123</c:v>
                </c:pt>
                <c:pt idx="755">
                  <c:v>1263.9300023404076</c:v>
                </c:pt>
                <c:pt idx="756">
                  <c:v>1267.4334719506405</c:v>
                </c:pt>
                <c:pt idx="757">
                  <c:v>1270.9308007212633</c:v>
                </c:pt>
                <c:pt idx="758">
                  <c:v>1274.4219396582218</c:v>
                </c:pt>
                <c:pt idx="759">
                  <c:v>1277.90683997779</c:v>
                </c:pt>
                <c:pt idx="760">
                  <c:v>1281.3854531141844</c:v>
                </c:pt>
                <c:pt idx="761">
                  <c:v>1284.857730726967</c:v>
                </c:pt>
                <c:pt idx="762">
                  <c:v>1288.3236247082439</c:v>
                </c:pt>
                <c:pt idx="763">
                  <c:v>1291.783087189664</c:v>
                </c:pt>
                <c:pt idx="764">
                  <c:v>1295.2360705492274</c:v>
                </c:pt>
                <c:pt idx="765">
                  <c:v>1298.6825274179062</c:v>
                </c:pt>
                <c:pt idx="766">
                  <c:v>1302.1224106860864</c:v>
                </c:pt>
                <c:pt idx="767">
                  <c:v>1305.5556735098346</c:v>
                </c:pt>
                <c:pt idx="768">
                  <c:v>1308.9822693169949</c:v>
                </c:pt>
                <c:pt idx="769">
                  <c:v>1312.4021518131221</c:v>
                </c:pt>
                <c:pt idx="770">
                  <c:v>1315.815274987254</c:v>
                </c:pt>
                <c:pt idx="771">
                  <c:v>1319.2215931175294</c:v>
                </c:pt>
                <c:pt idx="772">
                  <c:v>1322.6210607766548</c:v>
                </c:pt>
                <c:pt idx="773">
                  <c:v>1326.0136328372232</c:v>
                </c:pt>
                <c:pt idx="774">
                  <c:v>1329.3992644768919</c:v>
                </c:pt>
                <c:pt idx="775">
                  <c:v>1332.7779111834188</c:v>
                </c:pt>
                <c:pt idx="776">
                  <c:v>1336.1495287595644</c:v>
                </c:pt>
                <c:pt idx="777">
                  <c:v>1339.5140733278606</c:v>
                </c:pt>
                <c:pt idx="778">
                  <c:v>1342.871501335251</c:v>
                </c:pt>
                <c:pt idx="779">
                  <c:v>1346.2217695576039</c:v>
                </c:pt>
                <c:pt idx="780">
                  <c:v>1349.5648351041038</c:v>
                </c:pt>
                <c:pt idx="781">
                  <c:v>1352.9006554215212</c:v>
                </c:pt>
                <c:pt idx="782">
                  <c:v>1356.2291882983641</c:v>
                </c:pt>
                <c:pt idx="783">
                  <c:v>1359.5503918689169</c:v>
                </c:pt>
                <c:pt idx="784">
                  <c:v>1362.8642246171637</c:v>
                </c:pt>
                <c:pt idx="785">
                  <c:v>1366.170645380603</c:v>
                </c:pt>
                <c:pt idx="786">
                  <c:v>1369.4696133539537</c:v>
                </c:pt>
                <c:pt idx="787">
                  <c:v>1372.7610880927548</c:v>
                </c:pt>
                <c:pt idx="788">
                  <c:v>1376.0450295168614</c:v>
                </c:pt>
                <c:pt idx="789">
                  <c:v>1379.3213979138388</c:v>
                </c:pt>
                <c:pt idx="790">
                  <c:v>1382.5901539422564</c:v>
                </c:pt>
                <c:pt idx="791">
                  <c:v>1385.8512586348827</c:v>
                </c:pt>
                <c:pt idx="792">
                  <c:v>1389.1046734017843</c:v>
                </c:pt>
                <c:pt idx="793">
                  <c:v>1392.3503600333306</c:v>
                </c:pt>
                <c:pt idx="794">
                  <c:v>1395.5882807031028</c:v>
                </c:pt>
                <c:pt idx="795">
                  <c:v>1398.8183979707139</c:v>
                </c:pt>
                <c:pt idx="796">
                  <c:v>1402.0406747845366</c:v>
                </c:pt>
                <c:pt idx="797">
                  <c:v>1405.2550744843422</c:v>
                </c:pt>
                <c:pt idx="798">
                  <c:v>1408.4615608038534</c:v>
                </c:pt>
                <c:pt idx="799">
                  <c:v>1411.6600978732085</c:v>
                </c:pt>
                <c:pt idx="800">
                  <c:v>1414.8506502213431</c:v>
                </c:pt>
                <c:pt idx="801">
                  <c:v>1418.0331827782861</c:v>
                </c:pt>
                <c:pt idx="802">
                  <c:v>1421.2076608773739</c:v>
                </c:pt>
                <c:pt idx="803">
                  <c:v>1424.3740502573835</c:v>
                </c:pt>
                <c:pt idx="804">
                  <c:v>1427.5323170645843</c:v>
                </c:pt>
                <c:pt idx="805">
                  <c:v>1430.682427854711</c:v>
                </c:pt>
                <c:pt idx="806">
                  <c:v>1433.8243495948589</c:v>
                </c:pt>
                <c:pt idx="807">
                  <c:v>1436.9580496653005</c:v>
                </c:pt>
                <c:pt idx="808">
                  <c:v>1440.0834958612277</c:v>
                </c:pt>
                <c:pt idx="809">
                  <c:v>1443.2006563944167</c:v>
                </c:pt>
                <c:pt idx="810">
                  <c:v>1446.30949989482</c:v>
                </c:pt>
                <c:pt idx="811">
                  <c:v>1449.4099954120836</c:v>
                </c:pt>
                <c:pt idx="812">
                  <c:v>1452.5021124169928</c:v>
                </c:pt>
                <c:pt idx="813">
                  <c:v>1455.5858208028451</c:v>
                </c:pt>
                <c:pt idx="814">
                  <c:v>1458.6610908867531</c:v>
                </c:pt>
                <c:pt idx="815">
                  <c:v>1461.7278934108758</c:v>
                </c:pt>
                <c:pt idx="816">
                  <c:v>1464.7861995435824</c:v>
                </c:pt>
                <c:pt idx="817">
                  <c:v>1467.8359808805451</c:v>
                </c:pt>
                <c:pt idx="818">
                  <c:v>1470.8772094457665</c:v>
                </c:pt>
                <c:pt idx="819">
                  <c:v>1473.9098576925383</c:v>
                </c:pt>
                <c:pt idx="820">
                  <c:v>1476.9338985043335</c:v>
                </c:pt>
                <c:pt idx="821">
                  <c:v>1479.9493051956338</c:v>
                </c:pt>
                <c:pt idx="822">
                  <c:v>1482.9560515126918</c:v>
                </c:pt>
                <c:pt idx="823">
                  <c:v>1485.9541116342282</c:v>
                </c:pt>
                <c:pt idx="824">
                  <c:v>1488.9434601720657</c:v>
                </c:pt>
                <c:pt idx="825">
                  <c:v>1491.9240721717003</c:v>
                </c:pt>
                <c:pt idx="826">
                  <c:v>1494.8959231128101</c:v>
                </c:pt>
                <c:pt idx="827">
                  <c:v>1497.8589889097018</c:v>
                </c:pt>
                <c:pt idx="828">
                  <c:v>1500.8132459116969</c:v>
                </c:pt>
                <c:pt idx="829">
                  <c:v>1503.7586709034574</c:v>
                </c:pt>
                <c:pt idx="830">
                  <c:v>1506.6952411052519</c:v>
                </c:pt>
                <c:pt idx="831">
                  <c:v>1509.6229341731614</c:v>
                </c:pt>
                <c:pt idx="832">
                  <c:v>1512.5417281992284</c:v>
                </c:pt>
                <c:pt idx="833">
                  <c:v>1515.4516017115463</c:v>
                </c:pt>
                <c:pt idx="834">
                  <c:v>1518.3525336742928</c:v>
                </c:pt>
                <c:pt idx="835">
                  <c:v>1521.2445034877053</c:v>
                </c:pt>
                <c:pt idx="836">
                  <c:v>1524.1274909880021</c:v>
                </c:pt>
                <c:pt idx="837">
                  <c:v>1527.0014764472458</c:v>
                </c:pt>
                <c:pt idx="838">
                  <c:v>1529.8664405731527</c:v>
                </c:pt>
                <c:pt idx="839">
                  <c:v>1532.7223645088493</c:v>
                </c:pt>
                <c:pt idx="840">
                  <c:v>1535.5692298325721</c:v>
                </c:pt>
                <c:pt idx="841">
                  <c:v>1538.4070185573166</c:v>
                </c:pt>
                <c:pt idx="842">
                  <c:v>1541.2357131304325</c:v>
                </c:pt>
                <c:pt idx="843">
                  <c:v>1544.0552964331671</c:v>
                </c:pt>
                <c:pt idx="844">
                  <c:v>1546.8657517801578</c:v>
                </c:pt>
                <c:pt idx="845">
                  <c:v>1549.6670629188723</c:v>
                </c:pt>
                <c:pt idx="846">
                  <c:v>1552.4592140290001</c:v>
                </c:pt>
                <c:pt idx="847">
                  <c:v>1555.242189721793</c:v>
                </c:pt>
                <c:pt idx="848">
                  <c:v>1558.015975039357</c:v>
                </c:pt>
                <c:pt idx="849">
                  <c:v>1560.7805554538957</c:v>
                </c:pt>
                <c:pt idx="850">
                  <c:v>1563.5359168669049</c:v>
                </c:pt>
                <c:pt idx="851">
                  <c:v>1566.2820456083205</c:v>
                </c:pt>
                <c:pt idx="852">
                  <c:v>1569.0189284356188</c:v>
                </c:pt>
                <c:pt idx="853">
                  <c:v>1571.7465525328716</c:v>
                </c:pt>
                <c:pt idx="854">
                  <c:v>1574.4649055097536</c:v>
                </c:pt>
                <c:pt idx="855">
                  <c:v>1577.1739754005068</c:v>
                </c:pt>
                <c:pt idx="856">
                  <c:v>1579.8737506628584</c:v>
                </c:pt>
                <c:pt idx="857">
                  <c:v>1582.5642201768951</c:v>
                </c:pt>
                <c:pt idx="858">
                  <c:v>1585.2453732438953</c:v>
                </c:pt>
                <c:pt idx="859">
                  <c:v>1587.9171995851161</c:v>
                </c:pt>
                <c:pt idx="860">
                  <c:v>1590.5796893405395</c:v>
                </c:pt>
                <c:pt idx="861">
                  <c:v>1593.2328330675759</c:v>
                </c:pt>
                <c:pt idx="862">
                  <c:v>1595.8766217397272</c:v>
                </c:pt>
                <c:pt idx="863">
                  <c:v>1598.5110467452082</c:v>
                </c:pt>
                <c:pt idx="864">
                  <c:v>1601.1360998855293</c:v>
                </c:pt>
                <c:pt idx="865">
                  <c:v>1603.7517733740381</c:v>
                </c:pt>
                <c:pt idx="866">
                  <c:v>1606.3580598344226</c:v>
                </c:pt>
                <c:pt idx="867">
                  <c:v>1608.9549522991772</c:v>
                </c:pt>
                <c:pt idx="868">
                  <c:v>1611.5424442080287</c:v>
                </c:pt>
                <c:pt idx="869">
                  <c:v>1614.120529406327</c:v>
                </c:pt>
                <c:pt idx="870">
                  <c:v>1616.6892021433985</c:v>
                </c:pt>
                <c:pt idx="871">
                  <c:v>1619.2484570708621</c:v>
                </c:pt>
                <c:pt idx="872">
                  <c:v>1621.798289240912</c:v>
                </c:pt>
                <c:pt idx="873">
                  <c:v>1624.3386941045642</c:v>
                </c:pt>
                <c:pt idx="874">
                  <c:v>1626.8696675098679</c:v>
                </c:pt>
                <c:pt idx="875">
                  <c:v>1629.3912057000853</c:v>
                </c:pt>
                <c:pt idx="876">
                  <c:v>1631.9033053118362</c:v>
                </c:pt>
                <c:pt idx="877">
                  <c:v>1634.4059633732106</c:v>
                </c:pt>
                <c:pt idx="878">
                  <c:v>1636.8991773018495</c:v>
                </c:pt>
                <c:pt idx="879">
                  <c:v>1639.3829449029936</c:v>
                </c:pt>
                <c:pt idx="880">
                  <c:v>1641.8572643675022</c:v>
                </c:pt>
                <c:pt idx="881">
                  <c:v>1644.3221342698403</c:v>
                </c:pt>
                <c:pt idx="882">
                  <c:v>1646.7775535660369</c:v>
                </c:pt>
                <c:pt idx="883">
                  <c:v>1649.2235215916137</c:v>
                </c:pt>
                <c:pt idx="884">
                  <c:v>1651.6600380594857</c:v>
                </c:pt>
                <c:pt idx="885">
                  <c:v>1654.0871030578332</c:v>
                </c:pt>
                <c:pt idx="886">
                  <c:v>1656.5047170479463</c:v>
                </c:pt>
                <c:pt idx="887">
                  <c:v>1658.9128808620426</c:v>
                </c:pt>
                <c:pt idx="888">
                  <c:v>1661.3115957010593</c:v>
                </c:pt>
                <c:pt idx="889">
                  <c:v>1663.7008631324186</c:v>
                </c:pt>
                <c:pt idx="890">
                  <c:v>1666.0806850877682</c:v>
                </c:pt>
                <c:pt idx="891">
                  <c:v>1668.4510638606971</c:v>
                </c:pt>
                <c:pt idx="892">
                  <c:v>1670.8120021044276</c:v>
                </c:pt>
                <c:pt idx="893">
                  <c:v>1673.1635028294841</c:v>
                </c:pt>
                <c:pt idx="894">
                  <c:v>1675.5055694013381</c:v>
                </c:pt>
                <c:pt idx="895">
                  <c:v>1677.8382055380318</c:v>
                </c:pt>
                <c:pt idx="896">
                  <c:v>1680.1614153077792</c:v>
                </c:pt>
                <c:pt idx="897">
                  <c:v>1682.4752031265461</c:v>
                </c:pt>
                <c:pt idx="898">
                  <c:v>1684.7795737556103</c:v>
                </c:pt>
                <c:pt idx="899">
                  <c:v>1687.0745322991006</c:v>
                </c:pt>
                <c:pt idx="900">
                  <c:v>1689.3600842015167</c:v>
                </c:pt>
                <c:pt idx="901">
                  <c:v>1691.6362352452304</c:v>
                </c:pt>
                <c:pt idx="902">
                  <c:v>1693.902991547968</c:v>
                </c:pt>
                <c:pt idx="903">
                  <c:v>1696.1603595602751</c:v>
                </c:pt>
                <c:pt idx="904">
                  <c:v>1698.4083460629633</c:v>
                </c:pt>
                <c:pt idx="905">
                  <c:v>1700.6469581645422</c:v>
                </c:pt>
                <c:pt idx="906">
                  <c:v>1702.8762032986319</c:v>
                </c:pt>
                <c:pt idx="907">
                  <c:v>1705.0960892213634</c:v>
                </c:pt>
                <c:pt idx="908">
                  <c:v>1707.3066240087612</c:v>
                </c:pt>
                <c:pt idx="909">
                  <c:v>1709.5078160541125</c:v>
                </c:pt>
                <c:pt idx="910">
                  <c:v>1711.6996740653221</c:v>
                </c:pt>
                <c:pt idx="911">
                  <c:v>1713.8822070622541</c:v>
                </c:pt>
                <c:pt idx="912">
                  <c:v>1716.0554243740598</c:v>
                </c:pt>
                <c:pt idx="913">
                  <c:v>1718.219335636494</c:v>
                </c:pt>
                <c:pt idx="914">
                  <c:v>1720.3739507892187</c:v>
                </c:pt>
                <c:pt idx="915">
                  <c:v>1722.5192800730961</c:v>
                </c:pt>
                <c:pt idx="916">
                  <c:v>1724.65533402747</c:v>
                </c:pt>
                <c:pt idx="917">
                  <c:v>1726.782123487437</c:v>
                </c:pt>
                <c:pt idx="918">
                  <c:v>1728.8996595811086</c:v>
                </c:pt>
                <c:pt idx="919">
                  <c:v>1731.0079537268625</c:v>
                </c:pt>
                <c:pt idx="920">
                  <c:v>1733.1070176305861</c:v>
                </c:pt>
                <c:pt idx="921">
                  <c:v>1735.1968632829119</c:v>
                </c:pt>
                <c:pt idx="922">
                  <c:v>1737.2775029564434</c:v>
                </c:pt>
                <c:pt idx="923">
                  <c:v>1739.3489492029762</c:v>
                </c:pt>
                <c:pt idx="924">
                  <c:v>1741.4112148507097</c:v>
                </c:pt>
                <c:pt idx="925">
                  <c:v>1741.4112148507097</c:v>
                </c:pt>
                <c:pt idx="926">
                  <c:v>1741.4112148507097</c:v>
                </c:pt>
                <c:pt idx="927">
                  <c:v>1741.4112148507097</c:v>
                </c:pt>
                <c:pt idx="928">
                  <c:v>1741.4112148507097</c:v>
                </c:pt>
                <c:pt idx="929">
                  <c:v>1741.4112148507097</c:v>
                </c:pt>
                <c:pt idx="930">
                  <c:v>1741.4112148507097</c:v>
                </c:pt>
                <c:pt idx="931">
                  <c:v>1741.4112148507097</c:v>
                </c:pt>
                <c:pt idx="932">
                  <c:v>1741.4112148507097</c:v>
                </c:pt>
                <c:pt idx="933">
                  <c:v>1741.4112148507097</c:v>
                </c:pt>
                <c:pt idx="934">
                  <c:v>1741.4112148507097</c:v>
                </c:pt>
                <c:pt idx="935">
                  <c:v>1741.4112148507097</c:v>
                </c:pt>
                <c:pt idx="936">
                  <c:v>1741.4112148507097</c:v>
                </c:pt>
                <c:pt idx="937">
                  <c:v>1741.4112148507097</c:v>
                </c:pt>
                <c:pt idx="938">
                  <c:v>1741.4112148507097</c:v>
                </c:pt>
                <c:pt idx="939">
                  <c:v>1741.4112148507097</c:v>
                </c:pt>
                <c:pt idx="940">
                  <c:v>1741.4112148507097</c:v>
                </c:pt>
                <c:pt idx="941">
                  <c:v>1741.4112148507097</c:v>
                </c:pt>
                <c:pt idx="942">
                  <c:v>1741.4112148507097</c:v>
                </c:pt>
                <c:pt idx="943">
                  <c:v>1741.4112148507097</c:v>
                </c:pt>
                <c:pt idx="944">
                  <c:v>1741.4112148507097</c:v>
                </c:pt>
                <c:pt idx="945">
                  <c:v>1741.4112148507097</c:v>
                </c:pt>
                <c:pt idx="946">
                  <c:v>1741.4112148507097</c:v>
                </c:pt>
                <c:pt idx="947">
                  <c:v>1741.4112148507097</c:v>
                </c:pt>
                <c:pt idx="948">
                  <c:v>1741.4112148507097</c:v>
                </c:pt>
                <c:pt idx="949">
                  <c:v>1741.4112148507097</c:v>
                </c:pt>
                <c:pt idx="950">
                  <c:v>1741.4112148507097</c:v>
                </c:pt>
                <c:pt idx="951">
                  <c:v>1741.4112148507097</c:v>
                </c:pt>
                <c:pt idx="952">
                  <c:v>1741.4112148507097</c:v>
                </c:pt>
                <c:pt idx="953">
                  <c:v>1741.4112148507097</c:v>
                </c:pt>
                <c:pt idx="954">
                  <c:v>1741.4112148507097</c:v>
                </c:pt>
                <c:pt idx="955">
                  <c:v>1741.4112148507097</c:v>
                </c:pt>
                <c:pt idx="956">
                  <c:v>1741.4112148507097</c:v>
                </c:pt>
                <c:pt idx="957">
                  <c:v>1741.4112148507097</c:v>
                </c:pt>
                <c:pt idx="958">
                  <c:v>1741.4112148507097</c:v>
                </c:pt>
                <c:pt idx="959">
                  <c:v>1741.4112148507097</c:v>
                </c:pt>
                <c:pt idx="960">
                  <c:v>1741.4112148507097</c:v>
                </c:pt>
                <c:pt idx="961">
                  <c:v>1741.4112148507097</c:v>
                </c:pt>
                <c:pt idx="962">
                  <c:v>1741.4112148507097</c:v>
                </c:pt>
                <c:pt idx="963">
                  <c:v>1741.4112148507097</c:v>
                </c:pt>
                <c:pt idx="964">
                  <c:v>1741.4112148507097</c:v>
                </c:pt>
                <c:pt idx="965">
                  <c:v>1741.4112148507097</c:v>
                </c:pt>
                <c:pt idx="966">
                  <c:v>1741.4112148507097</c:v>
                </c:pt>
                <c:pt idx="967">
                  <c:v>1741.4112148507097</c:v>
                </c:pt>
                <c:pt idx="968">
                  <c:v>1741.4112148507097</c:v>
                </c:pt>
                <c:pt idx="969">
                  <c:v>1741.4112148507097</c:v>
                </c:pt>
                <c:pt idx="970">
                  <c:v>1741.4112148507097</c:v>
                </c:pt>
                <c:pt idx="971">
                  <c:v>1741.4112148507097</c:v>
                </c:pt>
                <c:pt idx="972">
                  <c:v>1741.4112148507097</c:v>
                </c:pt>
                <c:pt idx="973">
                  <c:v>1741.4112148507097</c:v>
                </c:pt>
                <c:pt idx="974">
                  <c:v>1741.4112148507097</c:v>
                </c:pt>
                <c:pt idx="975">
                  <c:v>1741.4112148507097</c:v>
                </c:pt>
                <c:pt idx="976">
                  <c:v>1741.4112148507097</c:v>
                </c:pt>
                <c:pt idx="977">
                  <c:v>1741.4112148507097</c:v>
                </c:pt>
                <c:pt idx="978">
                  <c:v>1741.4112148507097</c:v>
                </c:pt>
                <c:pt idx="979">
                  <c:v>1741.4112148507097</c:v>
                </c:pt>
                <c:pt idx="980">
                  <c:v>1741.4112148507097</c:v>
                </c:pt>
                <c:pt idx="981">
                  <c:v>1741.4112148507097</c:v>
                </c:pt>
                <c:pt idx="982">
                  <c:v>1741.4112148507097</c:v>
                </c:pt>
                <c:pt idx="983">
                  <c:v>1741.4112148507097</c:v>
                </c:pt>
                <c:pt idx="984">
                  <c:v>1741.4112148507097</c:v>
                </c:pt>
                <c:pt idx="985">
                  <c:v>1741.4112148507097</c:v>
                </c:pt>
                <c:pt idx="986">
                  <c:v>1741.4112148507097</c:v>
                </c:pt>
                <c:pt idx="987">
                  <c:v>1741.4112148507097</c:v>
                </c:pt>
                <c:pt idx="988">
                  <c:v>1741.4112148507097</c:v>
                </c:pt>
                <c:pt idx="989">
                  <c:v>1741.4112148507097</c:v>
                </c:pt>
                <c:pt idx="990">
                  <c:v>1741.4112148507097</c:v>
                </c:pt>
                <c:pt idx="991">
                  <c:v>1741.4112148507097</c:v>
                </c:pt>
                <c:pt idx="992">
                  <c:v>1741.4112148507097</c:v>
                </c:pt>
                <c:pt idx="993">
                  <c:v>1741.4112148507097</c:v>
                </c:pt>
                <c:pt idx="994">
                  <c:v>1741.4112148507097</c:v>
                </c:pt>
                <c:pt idx="995">
                  <c:v>1741.4112148507097</c:v>
                </c:pt>
                <c:pt idx="996">
                  <c:v>1741.4112148507097</c:v>
                </c:pt>
                <c:pt idx="997">
                  <c:v>1741.4112148507097</c:v>
                </c:pt>
                <c:pt idx="998">
                  <c:v>1741.4112148507097</c:v>
                </c:pt>
                <c:pt idx="999">
                  <c:v>1741.4112148507097</c:v>
                </c:pt>
                <c:pt idx="1000">
                  <c:v>1741.4112148507097</c:v>
                </c:pt>
              </c:numCache>
            </c:numRef>
          </c:yVal>
          <c:smooth val="0"/>
          <c:extLst>
            <c:ext xmlns:c16="http://schemas.microsoft.com/office/drawing/2014/chart" uri="{C3380CC4-5D6E-409C-BE32-E72D297353CC}">
              <c16:uniqueId val="{00000000-8016-4DF9-AB17-EDCEE1754333}"/>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47.400100000000343</c:v>
                </c:pt>
                <c:pt idx="926">
                  <c:v>47.400200000000346</c:v>
                </c:pt>
                <c:pt idx="927">
                  <c:v>47.40030000000035</c:v>
                </c:pt>
                <c:pt idx="928">
                  <c:v>47.400400000000353</c:v>
                </c:pt>
                <c:pt idx="929">
                  <c:v>47.400500000000356</c:v>
                </c:pt>
                <c:pt idx="930">
                  <c:v>47.40060000000036</c:v>
                </c:pt>
                <c:pt idx="931">
                  <c:v>47.400700000000363</c:v>
                </c:pt>
                <c:pt idx="932">
                  <c:v>47.400800000000366</c:v>
                </c:pt>
                <c:pt idx="933">
                  <c:v>47.40090000000037</c:v>
                </c:pt>
                <c:pt idx="934">
                  <c:v>47.401000000000373</c:v>
                </c:pt>
                <c:pt idx="935">
                  <c:v>47.401100000000376</c:v>
                </c:pt>
                <c:pt idx="936">
                  <c:v>47.401200000000379</c:v>
                </c:pt>
                <c:pt idx="937">
                  <c:v>47.401300000000383</c:v>
                </c:pt>
                <c:pt idx="938">
                  <c:v>47.401400000000386</c:v>
                </c:pt>
                <c:pt idx="939">
                  <c:v>47.401500000000389</c:v>
                </c:pt>
                <c:pt idx="940">
                  <c:v>47.401600000000393</c:v>
                </c:pt>
                <c:pt idx="941">
                  <c:v>47.401700000000396</c:v>
                </c:pt>
                <c:pt idx="942">
                  <c:v>47.401800000000399</c:v>
                </c:pt>
                <c:pt idx="943">
                  <c:v>47.401900000000403</c:v>
                </c:pt>
                <c:pt idx="944">
                  <c:v>47.402000000000406</c:v>
                </c:pt>
                <c:pt idx="945">
                  <c:v>47.402100000000409</c:v>
                </c:pt>
                <c:pt idx="946">
                  <c:v>47.402200000000413</c:v>
                </c:pt>
                <c:pt idx="947">
                  <c:v>47.402300000000416</c:v>
                </c:pt>
                <c:pt idx="948">
                  <c:v>47.402400000000419</c:v>
                </c:pt>
                <c:pt idx="949">
                  <c:v>47.402500000000423</c:v>
                </c:pt>
                <c:pt idx="950">
                  <c:v>47.402600000000426</c:v>
                </c:pt>
                <c:pt idx="951">
                  <c:v>47.402700000000429</c:v>
                </c:pt>
                <c:pt idx="952">
                  <c:v>47.402800000000433</c:v>
                </c:pt>
                <c:pt idx="953">
                  <c:v>47.402900000000436</c:v>
                </c:pt>
                <c:pt idx="954">
                  <c:v>47.403000000000439</c:v>
                </c:pt>
                <c:pt idx="955">
                  <c:v>47.403100000000443</c:v>
                </c:pt>
                <c:pt idx="956">
                  <c:v>47.403200000000446</c:v>
                </c:pt>
                <c:pt idx="957">
                  <c:v>47.403300000000449</c:v>
                </c:pt>
                <c:pt idx="958">
                  <c:v>47.403400000000453</c:v>
                </c:pt>
                <c:pt idx="959">
                  <c:v>47.403500000000456</c:v>
                </c:pt>
                <c:pt idx="960">
                  <c:v>47.403600000000459</c:v>
                </c:pt>
                <c:pt idx="961">
                  <c:v>47.403700000000462</c:v>
                </c:pt>
                <c:pt idx="962">
                  <c:v>47.403800000000466</c:v>
                </c:pt>
                <c:pt idx="963">
                  <c:v>47.403900000000469</c:v>
                </c:pt>
                <c:pt idx="964">
                  <c:v>47.404000000000472</c:v>
                </c:pt>
                <c:pt idx="965">
                  <c:v>47.404100000000476</c:v>
                </c:pt>
                <c:pt idx="966">
                  <c:v>47.404200000000479</c:v>
                </c:pt>
                <c:pt idx="967">
                  <c:v>47.404300000000482</c:v>
                </c:pt>
                <c:pt idx="968">
                  <c:v>47.404400000000486</c:v>
                </c:pt>
                <c:pt idx="969">
                  <c:v>47.404500000000489</c:v>
                </c:pt>
                <c:pt idx="970">
                  <c:v>47.404600000000492</c:v>
                </c:pt>
                <c:pt idx="971">
                  <c:v>47.404700000000496</c:v>
                </c:pt>
                <c:pt idx="972">
                  <c:v>47.404800000000499</c:v>
                </c:pt>
                <c:pt idx="973">
                  <c:v>47.404900000000502</c:v>
                </c:pt>
                <c:pt idx="974">
                  <c:v>47.405000000000506</c:v>
                </c:pt>
                <c:pt idx="975">
                  <c:v>47.405100000000509</c:v>
                </c:pt>
                <c:pt idx="976">
                  <c:v>47.405200000000512</c:v>
                </c:pt>
                <c:pt idx="977">
                  <c:v>47.405300000000516</c:v>
                </c:pt>
                <c:pt idx="978">
                  <c:v>47.405400000000519</c:v>
                </c:pt>
                <c:pt idx="979">
                  <c:v>47.405500000000522</c:v>
                </c:pt>
                <c:pt idx="980">
                  <c:v>47.405600000000526</c:v>
                </c:pt>
                <c:pt idx="981">
                  <c:v>47.405700000000529</c:v>
                </c:pt>
                <c:pt idx="982">
                  <c:v>47.405800000000532</c:v>
                </c:pt>
                <c:pt idx="983">
                  <c:v>47.405900000000535</c:v>
                </c:pt>
                <c:pt idx="984">
                  <c:v>47.406000000000539</c:v>
                </c:pt>
                <c:pt idx="985">
                  <c:v>47.406100000000542</c:v>
                </c:pt>
                <c:pt idx="986">
                  <c:v>47.406200000000545</c:v>
                </c:pt>
                <c:pt idx="987">
                  <c:v>47.406300000000549</c:v>
                </c:pt>
                <c:pt idx="988">
                  <c:v>47.406400000000552</c:v>
                </c:pt>
                <c:pt idx="989">
                  <c:v>47.406500000000555</c:v>
                </c:pt>
                <c:pt idx="990">
                  <c:v>47.406600000000559</c:v>
                </c:pt>
                <c:pt idx="991">
                  <c:v>47.406700000000562</c:v>
                </c:pt>
                <c:pt idx="992">
                  <c:v>47.406800000000565</c:v>
                </c:pt>
                <c:pt idx="993">
                  <c:v>47.406900000000569</c:v>
                </c:pt>
                <c:pt idx="994">
                  <c:v>47.407000000000572</c:v>
                </c:pt>
                <c:pt idx="995">
                  <c:v>47.407100000000575</c:v>
                </c:pt>
                <c:pt idx="996">
                  <c:v>47.407200000000579</c:v>
                </c:pt>
                <c:pt idx="997">
                  <c:v>47.407300000000582</c:v>
                </c:pt>
                <c:pt idx="998">
                  <c:v>47.407400000000585</c:v>
                </c:pt>
                <c:pt idx="999">
                  <c:v>47.407500000000589</c:v>
                </c:pt>
                <c:pt idx="1000">
                  <c:v>47.407600000000592</c:v>
                </c:pt>
              </c:numCache>
            </c:numRef>
          </c:xVal>
          <c:yVal>
            <c:numRef>
              <c:f>Calculs!$K$4:$K$1004</c:f>
              <c:numCache>
                <c:formatCode>0.00</c:formatCode>
                <c:ptCount val="1001"/>
                <c:pt idx="0">
                  <c:v>0</c:v>
                </c:pt>
                <c:pt idx="1">
                  <c:v>3.6937359344706394E-4</c:v>
                </c:pt>
                <c:pt idx="2">
                  <c:v>2.409843196968374E-3</c:v>
                </c:pt>
                <c:pt idx="3">
                  <c:v>7.440741493872579E-3</c:v>
                </c:pt>
                <c:pt idx="4">
                  <c:v>1.623630438492359E-2</c:v>
                </c:pt>
                <c:pt idx="5">
                  <c:v>2.9571348273326512E-2</c:v>
                </c:pt>
                <c:pt idx="6">
                  <c:v>4.8221358059421959E-2</c:v>
                </c:pt>
                <c:pt idx="7">
                  <c:v>7.296257457439749E-2</c:v>
                </c:pt>
                <c:pt idx="8">
                  <c:v>0.10457208148333813</c:v>
                </c:pt>
                <c:pt idx="9">
                  <c:v>0.1438278916872418</c:v>
                </c:pt>
                <c:pt idx="10">
                  <c:v>0.19150903325295746</c:v>
                </c:pt>
                <c:pt idx="11">
                  <c:v>0.24817296831150651</c:v>
                </c:pt>
                <c:pt idx="12">
                  <c:v>0.31393252335261035</c:v>
                </c:pt>
                <c:pt idx="13">
                  <c:v>0.38867618672903692</c:v>
                </c:pt>
                <c:pt idx="14">
                  <c:v>0.47228885012694549</c:v>
                </c:pt>
                <c:pt idx="15">
                  <c:v>0.56465350225469901</c:v>
                </c:pt>
                <c:pt idx="16">
                  <c:v>0.66565292596421655</c:v>
                </c:pt>
                <c:pt idx="17">
                  <c:v>0.77516970154074527</c:v>
                </c:pt>
                <c:pt idx="18">
                  <c:v>0.8930862099908885</c:v>
                </c:pt>
                <c:pt idx="19">
                  <c:v>1.0192846363284953</c:v>
                </c:pt>
                <c:pt idx="20">
                  <c:v>1.1536469728580168</c:v>
                </c:pt>
                <c:pt idx="21">
                  <c:v>1.2960550224549374</c:v>
                </c:pt>
                <c:pt idx="22">
                  <c:v>1.4463904018428917</c:v>
                </c:pt>
                <c:pt idx="23">
                  <c:v>1.6045345448670789</c:v>
                </c:pt>
                <c:pt idx="24">
                  <c:v>1.7703687057635917</c:v>
                </c:pt>
                <c:pt idx="25">
                  <c:v>1.9437739624242751</c:v>
                </c:pt>
                <c:pt idx="26">
                  <c:v>2.1246312196567372</c:v>
                </c:pt>
                <c:pt idx="27">
                  <c:v>2.3128511191445789</c:v>
                </c:pt>
                <c:pt idx="28">
                  <c:v>2.5084039963978619</c:v>
                </c:pt>
                <c:pt idx="29">
                  <c:v>2.7112900453318853</c:v>
                </c:pt>
                <c:pt idx="30">
                  <c:v>2.9215094342123353</c:v>
                </c:pt>
                <c:pt idx="31">
                  <c:v>3.1390623056262128</c:v>
                </c:pt>
                <c:pt idx="32">
                  <c:v>3.3639487764531877</c:v>
                </c:pt>
                <c:pt idx="33">
                  <c:v>3.596168937837386</c:v>
                </c:pt>
                <c:pt idx="34">
                  <c:v>3.8357228551596076</c:v>
                </c:pt>
                <c:pt idx="35">
                  <c:v>4.0826105680099767</c:v>
                </c:pt>
                <c:pt idx="36">
                  <c:v>4.336817293532202</c:v>
                </c:pt>
                <c:pt idx="37">
                  <c:v>4.5983277538632219</c:v>
                </c:pt>
                <c:pt idx="38">
                  <c:v>4.8671409756608819</c:v>
                </c:pt>
                <c:pt idx="39">
                  <c:v>5.1432559719222475</c:v>
                </c:pt>
                <c:pt idx="40">
                  <c:v>5.4266717479223958</c:v>
                </c:pt>
                <c:pt idx="41">
                  <c:v>5.7173873003768731</c:v>
                </c:pt>
                <c:pt idx="42">
                  <c:v>6.0154016166609923</c:v>
                </c:pt>
                <c:pt idx="43">
                  <c:v>6.3207136740807677</c:v>
                </c:pt>
                <c:pt idx="44">
                  <c:v>6.6333224391908958</c:v>
                </c:pt>
                <c:pt idx="45">
                  <c:v>6.9532268671556769</c:v>
                </c:pt>
                <c:pt idx="46">
                  <c:v>7.2804259011492434</c:v>
                </c:pt>
                <c:pt idx="47">
                  <c:v>7.6149184717918317</c:v>
                </c:pt>
                <c:pt idx="48">
                  <c:v>7.9567034966191779</c:v>
                </c:pt>
                <c:pt idx="49">
                  <c:v>8.3057798795824134</c:v>
                </c:pt>
                <c:pt idx="50">
                  <c:v>8.6621465105761057</c:v>
                </c:pt>
                <c:pt idx="51">
                  <c:v>9.0258022649923042</c:v>
                </c:pt>
                <c:pt idx="52">
                  <c:v>9.39674600329867</c:v>
                </c:pt>
                <c:pt idx="53">
                  <c:v>9.7749765706389393</c:v>
                </c:pt>
                <c:pt idx="54">
                  <c:v>10.160492796454141</c:v>
                </c:pt>
                <c:pt idx="55">
                  <c:v>10.553293494123118</c:v>
                </c:pt>
                <c:pt idx="56">
                  <c:v>10.953377460621033</c:v>
                </c:pt>
                <c:pt idx="57">
                  <c:v>11.36074347619468</c:v>
                </c:pt>
                <c:pt idx="58">
                  <c:v>11.775390304053468</c:v>
                </c:pt>
                <c:pt idx="59">
                  <c:v>12.197316690075109</c:v>
                </c:pt>
                <c:pt idx="60">
                  <c:v>12.626521362525043</c:v>
                </c:pt>
                <c:pt idx="61">
                  <c:v>13.063003031788798</c:v>
                </c:pt>
                <c:pt idx="62">
                  <c:v>13.506760390116462</c:v>
                </c:pt>
                <c:pt idx="63">
                  <c:v>13.957792111378586</c:v>
                </c:pt>
                <c:pt idx="64">
                  <c:v>14.416096850832806</c:v>
                </c:pt>
                <c:pt idx="65">
                  <c:v>14.88167324490062</c:v>
                </c:pt>
                <c:pt idx="66">
                  <c:v>15.354519910953712</c:v>
                </c:pt>
                <c:pt idx="67">
                  <c:v>15.834635447109322</c:v>
                </c:pt>
                <c:pt idx="68">
                  <c:v>16.322018432034156</c:v>
                </c:pt>
                <c:pt idx="69">
                  <c:v>16.816667424756393</c:v>
                </c:pt>
                <c:pt idx="70">
                  <c:v>17.318580964485363</c:v>
                </c:pt>
                <c:pt idx="71">
                  <c:v>17.827757570438511</c:v>
                </c:pt>
                <c:pt idx="72">
                  <c:v>18.344195401050573</c:v>
                </c:pt>
                <c:pt idx="73">
                  <c:v>18.867891912765909</c:v>
                </c:pt>
                <c:pt idx="74">
                  <c:v>19.398844199907973</c:v>
                </c:pt>
                <c:pt idx="75">
                  <c:v>19.937049334983051</c:v>
                </c:pt>
                <c:pt idx="76">
                  <c:v>20.482504368548444</c:v>
                </c:pt>
                <c:pt idx="77">
                  <c:v>21.035206329086257</c:v>
                </c:pt>
                <c:pt idx="78">
                  <c:v>21.595152222882575</c:v>
                </c:pt>
                <c:pt idx="79">
                  <c:v>22.162339033911731</c:v>
                </c:pt>
                <c:pt idx="80">
                  <c:v>22.736763723725492</c:v>
                </c:pt>
                <c:pt idx="81">
                  <c:v>23.318423231346934</c:v>
                </c:pt>
                <c:pt idx="82">
                  <c:v>23.907314473168796</c:v>
                </c:pt>
                <c:pt idx="83">
                  <c:v>24.503434342856153</c:v>
                </c:pt>
                <c:pt idx="84">
                  <c:v>25.106779711253207</c:v>
                </c:pt>
                <c:pt idx="85">
                  <c:v>25.717347426294037</c:v>
                </c:pt>
                <c:pt idx="86">
                  <c:v>26.335134312917177</c:v>
                </c:pt>
                <c:pt idx="87">
                  <c:v>26.960137172983831</c:v>
                </c:pt>
                <c:pt idx="88">
                  <c:v>27.592352785199633</c:v>
                </c:pt>
                <c:pt idx="89">
                  <c:v>28.23177790503977</c:v>
                </c:pt>
                <c:pt idx="90">
                  <c:v>28.878409264677394</c:v>
                </c:pt>
                <c:pt idx="91">
                  <c:v>29.532243572915171</c:v>
                </c:pt>
                <c:pt idx="92">
                  <c:v>30.193277515119874</c:v>
                </c:pt>
                <c:pt idx="93">
                  <c:v>30.861507753159898</c:v>
                </c:pt>
                <c:pt idx="94">
                  <c:v>31.536930925345615</c:v>
                </c:pt>
                <c:pt idx="95">
                  <c:v>32.219543646372458</c:v>
                </c:pt>
                <c:pt idx="96">
                  <c:v>32.909342507266665</c:v>
                </c:pt>
                <c:pt idx="97">
                  <c:v>33.606324075333561</c:v>
                </c:pt>
                <c:pt idx="98">
                  <c:v>34.310484894108342</c:v>
                </c:pt>
                <c:pt idx="99">
                  <c:v>35.021821483309246</c:v>
                </c:pt>
                <c:pt idx="100">
                  <c:v>35.740330338793065</c:v>
                </c:pt>
                <c:pt idx="101">
                  <c:v>36.466007932512895</c:v>
                </c:pt>
                <c:pt idx="102">
                  <c:v>37.198850712478098</c:v>
                </c:pt>
                <c:pt idx="103">
                  <c:v>37.938855102716381</c:v>
                </c:pt>
                <c:pt idx="104">
                  <c:v>38.686017503237935</c:v>
                </c:pt>
                <c:pt idx="105">
                  <c:v>39.440334290001601</c:v>
                </c:pt>
                <c:pt idx="106">
                  <c:v>40.201801814882984</c:v>
                </c:pt>
                <c:pt idx="107">
                  <c:v>40.970416405644443</c:v>
                </c:pt>
                <c:pt idx="108">
                  <c:v>41.74617436590696</c:v>
                </c:pt>
                <c:pt idx="109">
                  <c:v>42.529071975123799</c:v>
                </c:pt>
                <c:pt idx="110">
                  <c:v>43.319105488555927</c:v>
                </c:pt>
                <c:pt idx="111">
                  <c:v>44.116271137249136</c:v>
                </c:pt>
                <c:pt idx="112">
                  <c:v>44.920565128012832</c:v>
                </c:pt>
                <c:pt idx="113">
                  <c:v>45.731983643400469</c:v>
                </c:pt>
                <c:pt idx="114">
                  <c:v>46.550522841691546</c:v>
                </c:pt>
                <c:pt idx="115">
                  <c:v>47.376178856875185</c:v>
                </c:pt>
                <c:pt idx="116">
                  <c:v>48.208947798635201</c:v>
                </c:pt>
                <c:pt idx="117">
                  <c:v>49.048825752336661</c:v>
                </c:pt>
                <c:pt idx="118">
                  <c:v>49.895808779013905</c:v>
                </c:pt>
                <c:pt idx="119">
                  <c:v>50.749892915359951</c:v>
                </c:pt>
                <c:pt idx="120">
                  <c:v>51.611074173717334</c:v>
                </c:pt>
                <c:pt idx="121">
                  <c:v>52.479348542070248</c:v>
                </c:pt>
                <c:pt idx="122">
                  <c:v>53.354711984038062</c:v>
                </c:pt>
                <c:pt idx="123">
                  <c:v>54.237160438870106</c:v>
                </c:pt>
                <c:pt idx="124">
                  <c:v>55.126689821441772</c:v>
                </c:pt>
                <c:pt idx="125">
                  <c:v>56.023296022251806</c:v>
                </c:pt>
                <c:pt idx="126">
                  <c:v>56.926974907420878</c:v>
                </c:pt>
                <c:pt idx="127">
                  <c:v>57.837722318691327</c:v>
                </c:pt>
                <c:pt idx="128">
                  <c:v>58.755534073428123</c:v>
                </c:pt>
                <c:pt idx="129">
                  <c:v>59.680404399144614</c:v>
                </c:pt>
                <c:pt idx="130">
                  <c:v>60.612324366313949</c:v>
                </c:pt>
                <c:pt idx="131">
                  <c:v>61.551283451619859</c:v>
                </c:pt>
                <c:pt idx="132">
                  <c:v>62.497271102957384</c:v>
                </c:pt>
                <c:pt idx="133">
                  <c:v>63.45027673950603</c:v>
                </c:pt>
                <c:pt idx="134">
                  <c:v>64.410289751804186</c:v>
                </c:pt>
                <c:pt idx="135">
                  <c:v>65.377299501824808</c:v>
                </c:pt>
                <c:pt idx="136">
                  <c:v>66.351295323052284</c:v>
                </c:pt>
                <c:pt idx="137">
                  <c:v>67.332266520560481</c:v>
                </c:pt>
                <c:pt idx="138">
                  <c:v>68.320202371092023</c:v>
                </c:pt>
                <c:pt idx="139">
                  <c:v>69.315092123138626</c:v>
                </c:pt>
                <c:pt idx="140">
                  <c:v>70.31692499702261</c:v>
                </c:pt>
                <c:pt idx="141">
                  <c:v>71.325690184979493</c:v>
                </c:pt>
                <c:pt idx="142">
                  <c:v>72.34137685124162</c:v>
                </c:pt>
                <c:pt idx="143">
                  <c:v>73.36397413212292</c:v>
                </c:pt>
                <c:pt idx="144">
                  <c:v>74.393471136104637</c:v>
                </c:pt>
                <c:pt idx="145">
                  <c:v>75.429856943922118</c:v>
                </c:pt>
                <c:pt idx="146">
                  <c:v>76.473120608652536</c:v>
                </c:pt>
                <c:pt idx="147">
                  <c:v>77.523251155803649</c:v>
                </c:pt>
                <c:pt idx="148">
                  <c:v>78.580237583403516</c:v>
                </c:pt>
                <c:pt idx="149">
                  <c:v>79.644068862091089</c:v>
                </c:pt>
                <c:pt idx="150">
                  <c:v>80.714733935207803</c:v>
                </c:pt>
                <c:pt idx="151">
                  <c:v>81.792221718890033</c:v>
                </c:pt>
                <c:pt idx="152">
                  <c:v>82.876521102162428</c:v>
                </c:pt>
                <c:pt idx="153">
                  <c:v>83.96762094703216</c:v>
                </c:pt>
                <c:pt idx="154">
                  <c:v>85.065510088583991</c:v>
                </c:pt>
                <c:pt idx="155">
                  <c:v>86.170177335076204</c:v>
                </c:pt>
                <c:pt idx="156">
                  <c:v>87.28161146803734</c:v>
                </c:pt>
                <c:pt idx="157">
                  <c:v>88.399801242363779</c:v>
                </c:pt>
                <c:pt idx="158">
                  <c:v>89.524735386418087</c:v>
                </c:pt>
                <c:pt idx="159">
                  <c:v>90.656402602128168</c:v>
                </c:pt>
                <c:pt idx="160">
                  <c:v>91.794791565087138</c:v>
                </c:pt>
                <c:pt idx="161">
                  <c:v>92.939890924654023</c:v>
                </c:pt>
                <c:pt idx="162">
                  <c:v>94.091689304055166</c:v>
                </c:pt>
                <c:pt idx="163">
                  <c:v>95.250175300486362</c:v>
                </c:pt>
                <c:pt idx="164">
                  <c:v>96.415337485215687</c:v>
                </c:pt>
                <c:pt idx="165">
                  <c:v>97.587164403687083</c:v>
                </c:pt>
                <c:pt idx="166">
                  <c:v>98.765644575624592</c:v>
                </c:pt>
                <c:pt idx="167">
                  <c:v>99.950766495137273</c:v>
                </c:pt>
                <c:pt idx="168">
                  <c:v>101.14251863082478</c:v>
                </c:pt>
                <c:pt idx="169">
                  <c:v>102.34088942588367</c:v>
                </c:pt>
                <c:pt idx="170">
                  <c:v>103.54586729821423</c:v>
                </c:pt>
                <c:pt idx="171">
                  <c:v>104.75744064052802</c:v>
                </c:pt>
                <c:pt idx="172">
                  <c:v>105.975597820456</c:v>
                </c:pt>
                <c:pt idx="173">
                  <c:v>107.20032718065733</c:v>
                </c:pt>
                <c:pt idx="174">
                  <c:v>108.43161703892868</c:v>
                </c:pt>
                <c:pt idx="175">
                  <c:v>109.66945568831419</c:v>
                </c:pt>
                <c:pt idx="176">
                  <c:v>110.91383139721597</c:v>
                </c:pt>
                <c:pt idx="177">
                  <c:v>112.16473240950522</c:v>
                </c:pt>
                <c:pt idx="178">
                  <c:v>113.42214694463382</c:v>
                </c:pt>
                <c:pt idx="179">
                  <c:v>114.68606319774661</c:v>
                </c:pt>
                <c:pt idx="180">
                  <c:v>115.956469339794</c:v>
                </c:pt>
                <c:pt idx="181">
                  <c:v>117.23335351764533</c:v>
                </c:pt>
                <c:pt idx="182">
                  <c:v>118.5167038542026</c:v>
                </c:pt>
                <c:pt idx="183">
                  <c:v>119.80650844851476</c:v>
                </c:pt>
                <c:pt idx="184">
                  <c:v>121.1027553758925</c:v>
                </c:pt>
                <c:pt idx="185">
                  <c:v>122.4054326880235</c:v>
                </c:pt>
                <c:pt idx="186">
                  <c:v>123.71452841308822</c:v>
                </c:pt>
                <c:pt idx="187">
                  <c:v>125.0300305558761</c:v>
                </c:pt>
                <c:pt idx="188">
                  <c:v>126.35192709790223</c:v>
                </c:pt>
                <c:pt idx="189">
                  <c:v>127.68020599752458</c:v>
                </c:pt>
                <c:pt idx="190">
                  <c:v>129.0148551900615</c:v>
                </c:pt>
                <c:pt idx="191">
                  <c:v>130.35586258790974</c:v>
                </c:pt>
                <c:pt idx="192">
                  <c:v>131.70321608066297</c:v>
                </c:pt>
                <c:pt idx="193">
                  <c:v>133.05690353523062</c:v>
                </c:pt>
                <c:pt idx="194">
                  <c:v>134.41691279595719</c:v>
                </c:pt>
                <c:pt idx="195">
                  <c:v>135.78323168474185</c:v>
                </c:pt>
                <c:pt idx="196">
                  <c:v>137.15584800115866</c:v>
                </c:pt>
                <c:pt idx="197">
                  <c:v>138.53474952257696</c:v>
                </c:pt>
                <c:pt idx="198">
                  <c:v>139.91992400428219</c:v>
                </c:pt>
                <c:pt idx="199">
                  <c:v>141.31135917959716</c:v>
                </c:pt>
                <c:pt idx="200">
                  <c:v>142.70904276000368</c:v>
                </c:pt>
                <c:pt idx="201">
                  <c:v>144.11296243526439</c:v>
                </c:pt>
                <c:pt idx="202">
                  <c:v>145.52310587354515</c:v>
                </c:pt>
                <c:pt idx="203">
                  <c:v>146.93946072153759</c:v>
                </c:pt>
                <c:pt idx="204">
                  <c:v>148.36201460458213</c:v>
                </c:pt>
                <c:pt idx="205">
                  <c:v>149.79075512679125</c:v>
                </c:pt>
                <c:pt idx="206">
                  <c:v>151.22566949051395</c:v>
                </c:pt>
                <c:pt idx="207">
                  <c:v>152.66674411552015</c:v>
                </c:pt>
                <c:pt idx="208">
                  <c:v>154.11396501950296</c:v>
                </c:pt>
                <c:pt idx="209">
                  <c:v>155.56731819887074</c:v>
                </c:pt>
                <c:pt idx="210">
                  <c:v>157.02678962889007</c:v>
                </c:pt>
                <c:pt idx="211">
                  <c:v>158.49236526382896</c:v>
                </c:pt>
                <c:pt idx="212">
                  <c:v>159.96403103710037</c:v>
                </c:pt>
                <c:pt idx="213">
                  <c:v>161.44177286140587</c:v>
                </c:pt>
                <c:pt idx="214">
                  <c:v>162.92557662887964</c:v>
                </c:pt>
                <c:pt idx="215">
                  <c:v>164.41542821123264</c:v>
                </c:pt>
                <c:pt idx="216">
                  <c:v>165.91131345989692</c:v>
                </c:pt>
                <c:pt idx="217">
                  <c:v>167.41321820617031</c:v>
                </c:pt>
                <c:pt idx="218">
                  <c:v>168.92112826136116</c:v>
                </c:pt>
                <c:pt idx="219">
                  <c:v>170.43502941693336</c:v>
                </c:pt>
                <c:pt idx="220">
                  <c:v>171.95490744465144</c:v>
                </c:pt>
                <c:pt idx="221">
                  <c:v>173.48074809672596</c:v>
                </c:pt>
                <c:pt idx="222">
                  <c:v>175.01253710595907</c:v>
                </c:pt>
                <c:pt idx="223">
                  <c:v>176.5502601858901</c:v>
                </c:pt>
                <c:pt idx="224">
                  <c:v>178.09390303094145</c:v>
                </c:pt>
                <c:pt idx="225">
                  <c:v>179.64345131656452</c:v>
                </c:pt>
                <c:pt idx="226">
                  <c:v>181.19889069938594</c:v>
                </c:pt>
                <c:pt idx="227">
                  <c:v>182.76020681735366</c:v>
                </c:pt>
                <c:pt idx="228">
                  <c:v>184.32738528988347</c:v>
                </c:pt>
                <c:pt idx="229">
                  <c:v>185.90041171800542</c:v>
                </c:pt>
                <c:pt idx="230">
                  <c:v>187.47927168451051</c:v>
                </c:pt>
                <c:pt idx="231">
                  <c:v>189.06395075409728</c:v>
                </c:pt>
                <c:pt idx="232">
                  <c:v>190.65443447351876</c:v>
                </c:pt>
                <c:pt idx="233">
                  <c:v>192.2507083717293</c:v>
                </c:pt>
                <c:pt idx="234">
                  <c:v>193.8527579600316</c:v>
                </c:pt>
                <c:pt idx="235">
                  <c:v>195.46056873222372</c:v>
                </c:pt>
                <c:pt idx="236">
                  <c:v>197.0741261647463</c:v>
                </c:pt>
                <c:pt idx="237">
                  <c:v>198.69341571682972</c:v>
                </c:pt>
                <c:pt idx="238">
                  <c:v>200.31842283064137</c:v>
                </c:pt>
                <c:pt idx="239">
                  <c:v>201.94913293143298</c:v>
                </c:pt>
                <c:pt idx="240">
                  <c:v>203.58553142768801</c:v>
                </c:pt>
                <c:pt idx="241">
                  <c:v>205.22760371126896</c:v>
                </c:pt>
                <c:pt idx="242">
                  <c:v>206.87533384250113</c:v>
                </c:pt>
                <c:pt idx="243">
                  <c:v>208.52870323452919</c:v>
                </c:pt>
                <c:pt idx="244">
                  <c:v>210.1876919680021</c:v>
                </c:pt>
                <c:pt idx="245">
                  <c:v>211.85228010651844</c:v>
                </c:pt>
                <c:pt idx="246">
                  <c:v>213.52244769683969</c:v>
                </c:pt>
                <c:pt idx="247">
                  <c:v>215.19817476910347</c:v>
                </c:pt>
                <c:pt idx="248">
                  <c:v>216.87944133703644</c:v>
                </c:pt>
                <c:pt idx="249">
                  <c:v>218.56622739816703</c:v>
                </c:pt>
                <c:pt idx="250">
                  <c:v>220.25851293403795</c:v>
                </c:pt>
                <c:pt idx="251">
                  <c:v>221.95627791041844</c:v>
                </c:pt>
                <c:pt idx="252">
                  <c:v>223.65950227751628</c:v>
                </c:pt>
                <c:pt idx="253">
                  <c:v>225.36816597018955</c:v>
                </c:pt>
                <c:pt idx="254">
                  <c:v>227.08224890815805</c:v>
                </c:pt>
                <c:pt idx="255">
                  <c:v>228.80173099621453</c:v>
                </c:pt>
                <c:pt idx="256">
                  <c:v>230.52659212443558</c:v>
                </c:pt>
                <c:pt idx="257">
                  <c:v>232.25681216839226</c:v>
                </c:pt>
                <c:pt idx="258">
                  <c:v>233.99237098936038</c:v>
                </c:pt>
                <c:pt idx="259">
                  <c:v>235.73324843453059</c:v>
                </c:pt>
                <c:pt idx="260">
                  <c:v>237.47942433721792</c:v>
                </c:pt>
                <c:pt idx="261">
                  <c:v>239.23087851707126</c:v>
                </c:pt>
                <c:pt idx="262">
                  <c:v>240.98759078028229</c:v>
                </c:pt>
                <c:pt idx="263">
                  <c:v>242.74954091979419</c:v>
                </c:pt>
                <c:pt idx="264">
                  <c:v>244.51670871550996</c:v>
                </c:pt>
                <c:pt idx="265">
                  <c:v>246.28907393450035</c:v>
                </c:pt>
                <c:pt idx="266">
                  <c:v>248.06661633121146</c:v>
                </c:pt>
                <c:pt idx="267">
                  <c:v>249.849315647672</c:v>
                </c:pt>
                <c:pt idx="268">
                  <c:v>251.63715161370007</c:v>
                </c:pt>
                <c:pt idx="269">
                  <c:v>253.43010394710961</c:v>
                </c:pt>
                <c:pt idx="270">
                  <c:v>255.22815235391644</c:v>
                </c:pt>
                <c:pt idx="271">
                  <c:v>257.03127652854391</c:v>
                </c:pt>
                <c:pt idx="272">
                  <c:v>258.83945615402814</c:v>
                </c:pt>
                <c:pt idx="273">
                  <c:v>260.65267090222278</c:v>
                </c:pt>
                <c:pt idx="274">
                  <c:v>262.4709004340034</c:v>
                </c:pt>
                <c:pt idx="275">
                  <c:v>264.29412439947146</c:v>
                </c:pt>
                <c:pt idx="276">
                  <c:v>266.12232243815777</c:v>
                </c:pt>
                <c:pt idx="277">
                  <c:v>267.95547417922546</c:v>
                </c:pt>
                <c:pt idx="278">
                  <c:v>269.79355924167282</c:v>
                </c:pt>
                <c:pt idx="279">
                  <c:v>271.63655723453513</c:v>
                </c:pt>
                <c:pt idx="280">
                  <c:v>273.48444775708651</c:v>
                </c:pt>
                <c:pt idx="281">
                  <c:v>275.337210399041</c:v>
                </c:pt>
                <c:pt idx="282">
                  <c:v>277.1948247407534</c:v>
                </c:pt>
                <c:pt idx="283">
                  <c:v>279.05727035341931</c:v>
                </c:pt>
                <c:pt idx="284">
                  <c:v>280.92452834216084</c:v>
                </c:pt>
                <c:pt idx="285">
                  <c:v>282.79658288957563</c:v>
                </c:pt>
                <c:pt idx="286">
                  <c:v>284.67341971298526</c:v>
                </c:pt>
                <c:pt idx="287">
                  <c:v>286.55502452118424</c:v>
                </c:pt>
                <c:pt idx="288">
                  <c:v>288.44138301456792</c:v>
                </c:pt>
                <c:pt idx="289">
                  <c:v>290.33248088525988</c:v>
                </c:pt>
                <c:pt idx="290">
                  <c:v>292.22830381723946</c:v>
                </c:pt>
                <c:pt idx="291">
                  <c:v>294.1288374864688</c:v>
                </c:pt>
                <c:pt idx="292">
                  <c:v>296.03406756101958</c:v>
                </c:pt>
                <c:pt idx="293">
                  <c:v>297.94397970119991</c:v>
                </c:pt>
                <c:pt idx="294">
                  <c:v>299.85855955968071</c:v>
                </c:pt>
                <c:pt idx="295">
                  <c:v>301.77779278162183</c:v>
                </c:pt>
                <c:pt idx="296">
                  <c:v>303.70166500479814</c:v>
                </c:pt>
                <c:pt idx="297">
                  <c:v>305.63016185972509</c:v>
                </c:pt>
                <c:pt idx="298">
                  <c:v>307.56326896978442</c:v>
                </c:pt>
                <c:pt idx="299">
                  <c:v>309.50097195134913</c:v>
                </c:pt>
                <c:pt idx="300">
                  <c:v>311.44325641390867</c:v>
                </c:pt>
                <c:pt idx="301">
                  <c:v>313.39010796019357</c:v>
                </c:pt>
                <c:pt idx="302">
                  <c:v>315.34151218629989</c:v>
                </c:pt>
                <c:pt idx="303">
                  <c:v>317.29745468181352</c:v>
                </c:pt>
                <c:pt idx="304">
                  <c:v>319.25792102993404</c:v>
                </c:pt>
                <c:pt idx="305">
                  <c:v>321.22289680759832</c:v>
                </c:pt>
                <c:pt idx="306">
                  <c:v>323.19236758560413</c:v>
                </c:pt>
                <c:pt idx="307">
                  <c:v>325.16631892873306</c:v>
                </c:pt>
                <c:pt idx="308">
                  <c:v>327.14473639587351</c:v>
                </c:pt>
                <c:pt idx="309">
                  <c:v>329.12760554014312</c:v>
                </c:pt>
                <c:pt idx="310">
                  <c:v>331.1149119090112</c:v>
                </c:pt>
                <c:pt idx="311">
                  <c:v>333.1066410444206</c:v>
                </c:pt>
                <c:pt idx="312">
                  <c:v>335.10277848290946</c:v>
                </c:pt>
                <c:pt idx="313">
                  <c:v>337.1033097557326</c:v>
                </c:pt>
                <c:pt idx="314">
                  <c:v>339.10822038898272</c:v>
                </c:pt>
                <c:pt idx="315">
                  <c:v>341.11749590371107</c:v>
                </c:pt>
                <c:pt idx="316">
                  <c:v>343.13112181604811</c:v>
                </c:pt>
                <c:pt idx="317">
                  <c:v>345.1490836373236</c:v>
                </c:pt>
                <c:pt idx="318">
                  <c:v>347.17136687418656</c:v>
                </c:pt>
                <c:pt idx="319">
                  <c:v>349.19795702872483</c:v>
                </c:pt>
                <c:pt idx="320">
                  <c:v>351.22883959858433</c:v>
                </c:pt>
                <c:pt idx="321">
                  <c:v>353.26400007708804</c:v>
                </c:pt>
                <c:pt idx="322">
                  <c:v>355.30342395335464</c:v>
                </c:pt>
                <c:pt idx="323">
                  <c:v>357.34709671241683</c:v>
                </c:pt>
                <c:pt idx="324">
                  <c:v>359.39500383533931</c:v>
                </c:pt>
                <c:pt idx="325">
                  <c:v>361.44713079933638</c:v>
                </c:pt>
                <c:pt idx="326">
                  <c:v>363.50346317260096</c:v>
                </c:pt>
                <c:pt idx="327">
                  <c:v>365.56398670914376</c:v>
                </c:pt>
                <c:pt idx="328">
                  <c:v>367.62868725416229</c:v>
                </c:pt>
                <c:pt idx="329">
                  <c:v>369.69755064939744</c:v>
                </c:pt>
                <c:pt idx="330">
                  <c:v>371.77056273324575</c:v>
                </c:pt>
                <c:pt idx="331">
                  <c:v>373.84770934087157</c:v>
                </c:pt>
                <c:pt idx="332">
                  <c:v>375.92897630431889</c:v>
                </c:pt>
                <c:pt idx="333">
                  <c:v>378.01434945262264</c:v>
                </c:pt>
                <c:pt idx="334">
                  <c:v>380.10381461191986</c:v>
                </c:pt>
                <c:pt idx="335">
                  <c:v>382.1973576055604</c:v>
                </c:pt>
                <c:pt idx="336">
                  <c:v>384.29496425421752</c:v>
                </c:pt>
                <c:pt idx="337">
                  <c:v>386.39662037599777</c:v>
                </c:pt>
                <c:pt idx="338">
                  <c:v>388.50231178655082</c:v>
                </c:pt>
                <c:pt idx="339">
                  <c:v>390.61202429917893</c:v>
                </c:pt>
                <c:pt idx="340">
                  <c:v>392.72574372494597</c:v>
                </c:pt>
                <c:pt idx="341">
                  <c:v>394.84345587278608</c:v>
                </c:pt>
                <c:pt idx="342">
                  <c:v>396.96514654961214</c:v>
                </c:pt>
                <c:pt idx="343">
                  <c:v>399.09080156042364</c:v>
                </c:pt>
                <c:pt idx="344">
                  <c:v>401.22040670841454</c:v>
                </c:pt>
                <c:pt idx="345">
                  <c:v>403.35394779508039</c:v>
                </c:pt>
                <c:pt idx="346">
                  <c:v>405.49141062032538</c:v>
                </c:pt>
                <c:pt idx="347">
                  <c:v>407.63278098256893</c:v>
                </c:pt>
                <c:pt idx="348">
                  <c:v>409.77804467885187</c:v>
                </c:pt>
                <c:pt idx="349">
                  <c:v>411.92718750494231</c:v>
                </c:pt>
                <c:pt idx="350">
                  <c:v>414.0801952554412</c:v>
                </c:pt>
                <c:pt idx="351">
                  <c:v>416.23705372388736</c:v>
                </c:pt>
                <c:pt idx="352">
                  <c:v>418.39774870286237</c:v>
                </c:pt>
                <c:pt idx="353">
                  <c:v>420.56226598409489</c:v>
                </c:pt>
                <c:pt idx="354">
                  <c:v>422.73059135856465</c:v>
                </c:pt>
                <c:pt idx="355">
                  <c:v>424.90271061660616</c:v>
                </c:pt>
                <c:pt idx="356">
                  <c:v>427.07860954801197</c:v>
                </c:pt>
                <c:pt idx="357">
                  <c:v>429.25827394213553</c:v>
                </c:pt>
                <c:pt idx="358">
                  <c:v>431.44168958799366</c:v>
                </c:pt>
                <c:pt idx="359">
                  <c:v>433.62884227436888</c:v>
                </c:pt>
                <c:pt idx="360">
                  <c:v>435.8197177899109</c:v>
                </c:pt>
                <c:pt idx="361">
                  <c:v>438.01430192323818</c:v>
                </c:pt>
                <c:pt idx="362">
                  <c:v>440.21258046303882</c:v>
                </c:pt>
                <c:pt idx="363">
                  <c:v>442.41453919817116</c:v>
                </c:pt>
                <c:pt idx="364">
                  <c:v>444.62016391776393</c:v>
                </c:pt>
                <c:pt idx="365">
                  <c:v>446.82944041131623</c:v>
                </c:pt>
                <c:pt idx="366">
                  <c:v>449.04235686801997</c:v>
                </c:pt>
                <c:pt idx="367">
                  <c:v>451.25890627594663</c:v>
                </c:pt>
                <c:pt idx="368">
                  <c:v>453.4790840213027</c:v>
                </c:pt>
                <c:pt idx="369">
                  <c:v>455.70288548778672</c:v>
                </c:pt>
                <c:pt idx="370">
                  <c:v>457.93030605662022</c:v>
                </c:pt>
                <c:pt idx="371">
                  <c:v>460.1613411065785</c:v>
                </c:pt>
                <c:pt idx="372">
                  <c:v>462.3959860140215</c:v>
                </c:pt>
                <c:pt idx="373">
                  <c:v>464.63423615292464</c:v>
                </c:pt>
                <c:pt idx="374">
                  <c:v>466.87608689490946</c:v>
                </c:pt>
                <c:pt idx="375">
                  <c:v>469.12153360927442</c:v>
                </c:pt>
                <c:pt idx="376">
                  <c:v>471.37057166302554</c:v>
                </c:pt>
                <c:pt idx="377">
                  <c:v>473.62319642090694</c:v>
                </c:pt>
                <c:pt idx="378">
                  <c:v>475.8794032454316</c:v>
                </c:pt>
                <c:pt idx="379">
                  <c:v>478.13918749691175</c:v>
                </c:pt>
                <c:pt idx="380">
                  <c:v>480.40254453348945</c:v>
                </c:pt>
                <c:pt idx="381">
                  <c:v>482.66946712239582</c:v>
                </c:pt>
                <c:pt idx="382">
                  <c:v>484.93994285144049</c:v>
                </c:pt>
                <c:pt idx="383">
                  <c:v>487.21395671973005</c:v>
                </c:pt>
                <c:pt idx="384">
                  <c:v>489.49149372819176</c:v>
                </c:pt>
                <c:pt idx="385">
                  <c:v>491.77253887967589</c:v>
                </c:pt>
                <c:pt idx="386">
                  <c:v>494.05707717905739</c:v>
                </c:pt>
                <c:pt idx="387">
                  <c:v>496.34509363333717</c:v>
                </c:pt>
                <c:pt idx="388">
                  <c:v>498.63657325174296</c:v>
                </c:pt>
                <c:pt idx="389">
                  <c:v>500.93150104582969</c:v>
                </c:pt>
                <c:pt idx="390">
                  <c:v>503.22986202957929</c:v>
                </c:pt>
                <c:pt idx="391">
                  <c:v>505.53164121950022</c:v>
                </c:pt>
                <c:pt idx="392">
                  <c:v>507.83682363472639</c:v>
                </c:pt>
                <c:pt idx="393">
                  <c:v>510.14539429711579</c:v>
                </c:pt>
                <c:pt idx="394">
                  <c:v>512.45733823134844</c:v>
                </c:pt>
                <c:pt idx="395">
                  <c:v>514.77264046502398</c:v>
                </c:pt>
                <c:pt idx="396">
                  <c:v>517.09128602875876</c:v>
                </c:pt>
                <c:pt idx="397">
                  <c:v>519.41325995628256</c:v>
                </c:pt>
                <c:pt idx="398">
                  <c:v>521.73854728453477</c:v>
                </c:pt>
                <c:pt idx="399">
                  <c:v>524.06713305376013</c:v>
                </c:pt>
                <c:pt idx="400">
                  <c:v>526.39900230760372</c:v>
                </c:pt>
                <c:pt idx="401">
                  <c:v>528.73413806211443</c:v>
                </c:pt>
                <c:pt idx="402">
                  <c:v>531.07251927510788</c:v>
                </c:pt>
                <c:pt idx="403">
                  <c:v>533.4141228791741</c:v>
                </c:pt>
                <c:pt idx="404">
                  <c:v>535.75892581436199</c:v>
                </c:pt>
                <c:pt idx="405">
                  <c:v>538.10690502834689</c:v>
                </c:pt>
                <c:pt idx="406">
                  <c:v>540.45803747659727</c:v>
                </c:pt>
                <c:pt idx="407">
                  <c:v>542.81230012254025</c:v>
                </c:pt>
                <c:pt idx="408">
                  <c:v>545.16966993772633</c:v>
                </c:pt>
                <c:pt idx="409">
                  <c:v>547.53012390199262</c:v>
                </c:pt>
                <c:pt idx="410">
                  <c:v>549.89363900362548</c:v>
                </c:pt>
                <c:pt idx="411">
                  <c:v>552.26018103198612</c:v>
                </c:pt>
                <c:pt idx="412">
                  <c:v>554.62969337290951</c:v>
                </c:pt>
                <c:pt idx="413">
                  <c:v>557.00210822786096</c:v>
                </c:pt>
                <c:pt idx="414">
                  <c:v>559.37735783069593</c:v>
                </c:pt>
                <c:pt idx="415">
                  <c:v>561.75537444857139</c:v>
                </c:pt>
                <c:pt idx="416">
                  <c:v>564.13609038284937</c:v>
                </c:pt>
                <c:pt idx="417">
                  <c:v>566.51943796999171</c:v>
                </c:pt>
                <c:pt idx="418">
                  <c:v>568.90534958244734</c:v>
                </c:pt>
                <c:pt idx="419">
                  <c:v>571.29375762953032</c:v>
                </c:pt>
                <c:pt idx="420">
                  <c:v>573.6845881906446</c:v>
                </c:pt>
                <c:pt idx="421">
                  <c:v>576.07775465102941</c:v>
                </c:pt>
                <c:pt idx="422">
                  <c:v>578.47316407833478</c:v>
                </c:pt>
                <c:pt idx="423">
                  <c:v>580.87072359699778</c:v>
                </c:pt>
                <c:pt idx="424">
                  <c:v>583.27034038975228</c:v>
                </c:pt>
                <c:pt idx="425">
                  <c:v>585.67192169912312</c:v>
                </c:pt>
                <c:pt idx="426">
                  <c:v>588.0753748289053</c:v>
                </c:pt>
                <c:pt idx="427">
                  <c:v>590.48060714562678</c:v>
                </c:pt>
                <c:pt idx="428">
                  <c:v>592.88752607999595</c:v>
                </c:pt>
                <c:pt idx="429">
                  <c:v>595.29603912833375</c:v>
                </c:pt>
                <c:pt idx="430">
                  <c:v>597.70605385398972</c:v>
                </c:pt>
                <c:pt idx="431">
                  <c:v>600.11747788874231</c:v>
                </c:pt>
                <c:pt idx="432">
                  <c:v>602.53020868867725</c:v>
                </c:pt>
                <c:pt idx="433">
                  <c:v>604.94412329669422</c:v>
                </c:pt>
                <c:pt idx="434">
                  <c:v>607.35908860640905</c:v>
                </c:pt>
                <c:pt idx="435">
                  <c:v>609.77497162010548</c:v>
                </c:pt>
                <c:pt idx="436">
                  <c:v>612.19163945146909</c:v>
                </c:pt>
                <c:pt idx="437">
                  <c:v>614.60895932828953</c:v>
                </c:pt>
                <c:pt idx="438">
                  <c:v>617.02679859512921</c:v>
                </c:pt>
                <c:pt idx="439">
                  <c:v>619.44502471595956</c:v>
                </c:pt>
                <c:pt idx="440">
                  <c:v>621.86350527676416</c:v>
                </c:pt>
                <c:pt idx="441">
                  <c:v>624.28210798810926</c:v>
                </c:pt>
                <c:pt idx="442">
                  <c:v>626.70070690358762</c:v>
                </c:pt>
                <c:pt idx="443">
                  <c:v>629.11918863246638</c:v>
                </c:pt>
                <c:pt idx="444">
                  <c:v>631.53744611330728</c:v>
                </c:pt>
                <c:pt idx="445">
                  <c:v>633.95537239288728</c:v>
                </c:pt>
                <c:pt idx="446">
                  <c:v>636.37286062774899</c:v>
                </c:pt>
                <c:pt idx="447">
                  <c:v>638.78980408572988</c:v>
                </c:pt>
                <c:pt idx="448">
                  <c:v>641.20609614746934</c:v>
                </c:pt>
                <c:pt idx="449">
                  <c:v>643.62163030789486</c:v>
                </c:pt>
                <c:pt idx="450">
                  <c:v>646.03630017768614</c:v>
                </c:pt>
                <c:pt idx="451">
                  <c:v>648.44999948471843</c:v>
                </c:pt>
                <c:pt idx="452">
                  <c:v>650.86262207548396</c:v>
                </c:pt>
                <c:pt idx="453">
                  <c:v>653.27407080936712</c:v>
                </c:pt>
                <c:pt idx="454">
                  <c:v>655.68426644265503</c:v>
                </c:pt>
                <c:pt idx="455">
                  <c:v>658.09313871567701</c:v>
                </c:pt>
                <c:pt idx="456">
                  <c:v>660.50061744975415</c:v>
                </c:pt>
                <c:pt idx="457">
                  <c:v>662.90663254769652</c:v>
                </c:pt>
                <c:pt idx="458">
                  <c:v>665.31111399429153</c:v>
                </c:pt>
                <c:pt idx="459">
                  <c:v>667.71399185678308</c:v>
                </c:pt>
                <c:pt idx="460">
                  <c:v>670.11519628534199</c:v>
                </c:pt>
                <c:pt idx="461">
                  <c:v>672.51466551240173</c:v>
                </c:pt>
                <c:pt idx="462">
                  <c:v>674.9123538420082</c:v>
                </c:pt>
                <c:pt idx="463">
                  <c:v>677.30822363121274</c:v>
                </c:pt>
                <c:pt idx="464">
                  <c:v>679.70223728124336</c:v>
                </c:pt>
                <c:pt idx="465">
                  <c:v>682.09435723755632</c:v>
                </c:pt>
                <c:pt idx="466">
                  <c:v>684.48453927189655</c:v>
                </c:pt>
                <c:pt idx="467">
                  <c:v>686.87272577296505</c:v>
                </c:pt>
                <c:pt idx="468">
                  <c:v>689.25877767495854</c:v>
                </c:pt>
                <c:pt idx="469">
                  <c:v>691.6424980206607</c:v>
                </c:pt>
                <c:pt idx="470">
                  <c:v>694.02379838489708</c:v>
                </c:pt>
                <c:pt idx="471">
                  <c:v>696.4026819943565</c:v>
                </c:pt>
                <c:pt idx="472">
                  <c:v>698.77915206715682</c:v>
                </c:pt>
                <c:pt idx="473">
                  <c:v>701.15321181287482</c:v>
                </c:pt>
                <c:pt idx="474">
                  <c:v>703.52486443257601</c:v>
                </c:pt>
                <c:pt idx="475">
                  <c:v>705.89411311884464</c:v>
                </c:pt>
                <c:pt idx="476">
                  <c:v>708.26096105581303</c:v>
                </c:pt>
                <c:pt idx="477">
                  <c:v>710.62541141919132</c:v>
                </c:pt>
                <c:pt idx="478">
                  <c:v>712.98746737629676</c:v>
                </c:pt>
                <c:pt idx="479">
                  <c:v>715.34713208608298</c:v>
                </c:pt>
                <c:pt idx="480">
                  <c:v>717.70440869916888</c:v>
                </c:pt>
                <c:pt idx="481">
                  <c:v>720.05930035786787</c:v>
                </c:pt>
                <c:pt idx="482">
                  <c:v>722.41181019621661</c:v>
                </c:pt>
                <c:pt idx="483">
                  <c:v>724.76194134000377</c:v>
                </c:pt>
                <c:pt idx="484">
                  <c:v>727.10969690679872</c:v>
                </c:pt>
                <c:pt idx="485">
                  <c:v>729.45508000597977</c:v>
                </c:pt>
                <c:pt idx="486">
                  <c:v>731.79809373876265</c:v>
                </c:pt>
                <c:pt idx="487">
                  <c:v>734.13874119822879</c:v>
                </c:pt>
                <c:pt idx="488">
                  <c:v>736.47702546935329</c:v>
                </c:pt>
                <c:pt idx="489">
                  <c:v>738.81294962903314</c:v>
                </c:pt>
                <c:pt idx="490">
                  <c:v>741.14651674611468</c:v>
                </c:pt>
                <c:pt idx="491">
                  <c:v>743.47772988142162</c:v>
                </c:pt>
                <c:pt idx="492">
                  <c:v>745.80659208778275</c:v>
                </c:pt>
                <c:pt idx="493">
                  <c:v>748.1331064100591</c:v>
                </c:pt>
                <c:pt idx="494">
                  <c:v>750.4572758851715</c:v>
                </c:pt>
                <c:pt idx="495">
                  <c:v>752.77910354212781</c:v>
                </c:pt>
                <c:pt idx="496">
                  <c:v>755.09859240205014</c:v>
                </c:pt>
                <c:pt idx="497">
                  <c:v>757.41574547820176</c:v>
                </c:pt>
                <c:pt idx="498">
                  <c:v>759.73056577601392</c:v>
                </c:pt>
                <c:pt idx="499">
                  <c:v>762.04305629311273</c:v>
                </c:pt>
                <c:pt idx="500">
                  <c:v>764.35322001934594</c:v>
                </c:pt>
                <c:pt idx="501">
                  <c:v>787.32711480942896</c:v>
                </c:pt>
                <c:pt idx="502">
                  <c:v>810.07025332253977</c:v>
                </c:pt>
                <c:pt idx="503">
                  <c:v>832.58554919016797</c:v>
                </c:pt>
                <c:pt idx="504">
                  <c:v>854.87584181271234</c:v>
                </c:pt>
                <c:pt idx="505">
                  <c:v>876.94389882779831</c:v>
                </c:pt>
                <c:pt idx="506">
                  <c:v>898.79241847506535</c:v>
                </c:pt>
                <c:pt idx="507">
                  <c:v>920.42403186262084</c:v>
                </c:pt>
                <c:pt idx="508">
                  <c:v>941.84130514005267</c:v>
                </c:pt>
                <c:pt idx="509">
                  <c:v>963.04674158261003</c:v>
                </c:pt>
                <c:pt idx="510">
                  <c:v>984.04278359089744</c:v>
                </c:pt>
                <c:pt idx="511">
                  <c:v>1004.8318146101795</c:v>
                </c:pt>
                <c:pt idx="512">
                  <c:v>1025.416160973163</c:v>
                </c:pt>
                <c:pt idx="513">
                  <c:v>1045.7980936699046</c:v>
                </c:pt>
                <c:pt idx="514">
                  <c:v>1065.9798300482948</c:v>
                </c:pt>
                <c:pt idx="515">
                  <c:v>1085.9635354483714</c:v>
                </c:pt>
                <c:pt idx="516">
                  <c:v>1105.7513247735446</c:v>
                </c:pt>
                <c:pt idx="517">
                  <c:v>1125.345264001646</c:v>
                </c:pt>
                <c:pt idx="518">
                  <c:v>1144.7473716385559</c:v>
                </c:pt>
                <c:pt idx="519">
                  <c:v>1163.95962011702</c:v>
                </c:pt>
                <c:pt idx="520">
                  <c:v>1182.9839371431249</c:v>
                </c:pt>
                <c:pt idx="521">
                  <c:v>1201.8222069927738</c:v>
                </c:pt>
                <c:pt idx="522">
                  <c:v>1220.4762717603826</c:v>
                </c:pt>
                <c:pt idx="523">
                  <c:v>1238.9479325618991</c:v>
                </c:pt>
                <c:pt idx="524">
                  <c:v>1257.2389506941429</c:v>
                </c:pt>
                <c:pt idx="525">
                  <c:v>1275.3510487523606</c:v>
                </c:pt>
                <c:pt idx="526">
                  <c:v>1293.2859117077942</c:v>
                </c:pt>
                <c:pt idx="527">
                  <c:v>1311.0451879469729</c:v>
                </c:pt>
                <c:pt idx="528">
                  <c:v>1328.6304902743507</c:v>
                </c:pt>
                <c:pt idx="529">
                  <c:v>1346.0433968798325</c:v>
                </c:pt>
                <c:pt idx="530">
                  <c:v>1363.2854522726584</c:v>
                </c:pt>
                <c:pt idx="531">
                  <c:v>1380.3581681830399</c:v>
                </c:pt>
                <c:pt idx="532">
                  <c:v>1397.2630244328768</c:v>
                </c:pt>
                <c:pt idx="533">
                  <c:v>1414.0014697768204</c:v>
                </c:pt>
                <c:pt idx="534">
                  <c:v>1430.574922714886</c:v>
                </c:pt>
                <c:pt idx="535">
                  <c:v>1446.9847722777629</c:v>
                </c:pt>
                <c:pt idx="536">
                  <c:v>1463.2323787859132</c:v>
                </c:pt>
                <c:pt idx="537">
                  <c:v>1479.319074583505</c:v>
                </c:pt>
                <c:pt idx="538">
                  <c:v>1495.2461647481691</c:v>
                </c:pt>
                <c:pt idx="539">
                  <c:v>1511.0149277775311</c:v>
                </c:pt>
                <c:pt idx="540">
                  <c:v>1526.6266162534209</c:v>
                </c:pt>
                <c:pt idx="541">
                  <c:v>1542.0824574846247</c:v>
                </c:pt>
                <c:pt idx="542">
                  <c:v>1557.3836541290025</c:v>
                </c:pt>
                <c:pt idx="543">
                  <c:v>1572.5313847957589</c:v>
                </c:pt>
                <c:pt idx="544">
                  <c:v>1587.5268046286199</c:v>
                </c:pt>
                <c:pt idx="545">
                  <c:v>1602.3710458706346</c:v>
                </c:pt>
                <c:pt idx="546">
                  <c:v>1617.0652184112885</c:v>
                </c:pt>
                <c:pt idx="547">
                  <c:v>1631.610410316586</c:v>
                </c:pt>
                <c:pt idx="548">
                  <c:v>1646.0076883427314</c:v>
                </c:pt>
                <c:pt idx="549">
                  <c:v>1660.2580984340093</c:v>
                </c:pt>
                <c:pt idx="550">
                  <c:v>1674.3626662054403</c:v>
                </c:pt>
                <c:pt idx="551">
                  <c:v>1688.3223974107632</c:v>
                </c:pt>
                <c:pt idx="552">
                  <c:v>1702.1382783962722</c:v>
                </c:pt>
                <c:pt idx="553">
                  <c:v>1715.8112765410146</c:v>
                </c:pt>
                <c:pt idx="554">
                  <c:v>1729.3423406838331</c:v>
                </c:pt>
                <c:pt idx="555">
                  <c:v>1742.7324015377169</c:v>
                </c:pt>
                <c:pt idx="556">
                  <c:v>1755.9823720919085</c:v>
                </c:pt>
                <c:pt idx="557">
                  <c:v>1769.0931480021916</c:v>
                </c:pt>
                <c:pt idx="558">
                  <c:v>1782.0656079697703</c:v>
                </c:pt>
                <c:pt idx="559">
                  <c:v>1794.900614109132</c:v>
                </c:pt>
                <c:pt idx="560">
                  <c:v>1807.599012305272</c:v>
                </c:pt>
                <c:pt idx="561">
                  <c:v>1820.1616325606419</c:v>
                </c:pt>
                <c:pt idx="562">
                  <c:v>1832.5892893321686</c:v>
                </c:pt>
                <c:pt idx="563">
                  <c:v>1844.8827818586778</c:v>
                </c:pt>
                <c:pt idx="564">
                  <c:v>1857.0428944790444</c:v>
                </c:pt>
                <c:pt idx="565">
                  <c:v>1869.0703969413755</c:v>
                </c:pt>
                <c:pt idx="566">
                  <c:v>1880.9660447035249</c:v>
                </c:pt>
                <c:pt idx="567">
                  <c:v>1892.7305792252218</c:v>
                </c:pt>
                <c:pt idx="568">
                  <c:v>1904.3647282520901</c:v>
                </c:pt>
                <c:pt idx="569">
                  <c:v>1915.8692060918186</c:v>
                </c:pt>
                <c:pt idx="570">
                  <c:v>1927.2447138827386</c:v>
                </c:pt>
                <c:pt idx="571">
                  <c:v>1938.491939855051</c:v>
                </c:pt>
                <c:pt idx="572">
                  <c:v>1949.6115595849396</c:v>
                </c:pt>
                <c:pt idx="573">
                  <c:v>1960.604236241795</c:v>
                </c:pt>
                <c:pt idx="574">
                  <c:v>1971.4706208287676</c:v>
                </c:pt>
                <c:pt idx="575">
                  <c:v>1982.2113524168608</c:v>
                </c:pt>
                <c:pt idx="576">
                  <c:v>1992.8270583727649</c:v>
                </c:pt>
                <c:pt idx="577">
                  <c:v>2003.3183545806271</c:v>
                </c:pt>
                <c:pt idx="578">
                  <c:v>2013.6858456579469</c:v>
                </c:pt>
                <c:pt idx="579">
                  <c:v>2023.9301251657766</c:v>
                </c:pt>
                <c:pt idx="580">
                  <c:v>2034.0517758134029</c:v>
                </c:pt>
                <c:pt idx="581">
                  <c:v>2044.0513696576772</c:v>
                </c:pt>
                <c:pt idx="582">
                  <c:v>2053.9294682971604</c:v>
                </c:pt>
                <c:pt idx="583">
                  <c:v>2063.6866230612354</c:v>
                </c:pt>
                <c:pt idx="584">
                  <c:v>2073.3233751943421</c:v>
                </c:pt>
                <c:pt idx="585">
                  <c:v>2082.8402560354821</c:v>
                </c:pt>
                <c:pt idx="586">
                  <c:v>2092.237787193133</c:v>
                </c:pt>
                <c:pt idx="587">
                  <c:v>2101.5164807157125</c:v>
                </c:pt>
                <c:pt idx="588">
                  <c:v>2110.6768392577214</c:v>
                </c:pt>
                <c:pt idx="589">
                  <c:v>2119.7193562416974</c:v>
                </c:pt>
                <c:pt idx="590">
                  <c:v>2128.6445160161015</c:v>
                </c:pt>
                <c:pt idx="591">
                  <c:v>2137.4527940092617</c:v>
                </c:pt>
                <c:pt idx="592">
                  <c:v>2146.1446568794845</c:v>
                </c:pt>
                <c:pt idx="593">
                  <c:v>2154.7205626614541</c:v>
                </c:pt>
                <c:pt idx="594">
                  <c:v>2163.1809609090233</c:v>
                </c:pt>
                <c:pt idx="595">
                  <c:v>2171.5262928345091</c:v>
                </c:pt>
                <c:pt idx="596">
                  <c:v>2179.7569914445894</c:v>
                </c:pt>
                <c:pt idx="597">
                  <c:v>2187.8734816729075</c:v>
                </c:pt>
                <c:pt idx="598">
                  <c:v>2195.87618050948</c:v>
                </c:pt>
                <c:pt idx="599">
                  <c:v>2203.7654971270031</c:v>
                </c:pt>
                <c:pt idx="600">
                  <c:v>2211.5418330041498</c:v>
                </c:pt>
                <c:pt idx="601">
                  <c:v>2219.2055820459518</c:v>
                </c:pt>
                <c:pt idx="602">
                  <c:v>2226.7571307013504</c:v>
                </c:pt>
                <c:pt idx="603">
                  <c:v>2234.1968580780053</c:v>
                </c:pt>
                <c:pt idx="604">
                  <c:v>2241.5251360544435</c:v>
                </c:pt>
                <c:pt idx="605">
                  <c:v>2248.7423293896354</c:v>
                </c:pt>
                <c:pt idx="606">
                  <c:v>2255.8487958300743</c:v>
                </c:pt>
                <c:pt idx="607">
                  <c:v>2262.8448862144419</c:v>
                </c:pt>
                <c:pt idx="608">
                  <c:v>2269.730944575937</c:v>
                </c:pt>
                <c:pt idx="609">
                  <c:v>2276.5073082423442</c:v>
                </c:pt>
                <c:pt idx="610">
                  <c:v>2283.1743079339212</c:v>
                </c:pt>
                <c:pt idx="611">
                  <c:v>2289.732267859175</c:v>
                </c:pt>
                <c:pt idx="612">
                  <c:v>2296.1815058086063</c:v>
                </c:pt>
                <c:pt idx="613">
                  <c:v>2302.5223332464934</c:v>
                </c:pt>
                <c:pt idx="614">
                  <c:v>2308.7550554007885</c:v>
                </c:pt>
                <c:pt idx="615">
                  <c:v>2314.8799713512012</c:v>
                </c:pt>
                <c:pt idx="616">
                  <c:v>2320.8973741155405</c:v>
                </c:pt>
                <c:pt idx="617">
                  <c:v>2326.8075507343874</c:v>
                </c:pt>
                <c:pt idx="618">
                  <c:v>2332.6107823541747</c:v>
                </c:pt>
                <c:pt idx="619">
                  <c:v>2338.3073443087433</c:v>
                </c:pt>
                <c:pt idx="620">
                  <c:v>2343.897506199452</c:v>
                </c:pt>
                <c:pt idx="621">
                  <c:v>2349.3815319739124</c:v>
                </c:pt>
                <c:pt idx="622">
                  <c:v>2354.7596800034285</c:v>
                </c:pt>
                <c:pt idx="623">
                  <c:v>2360.0322031592145</c:v>
                </c:pt>
                <c:pt idx="624">
                  <c:v>2365.19934888747</c:v>
                </c:pt>
                <c:pt idx="625">
                  <c:v>2370.2613592833927</c:v>
                </c:pt>
                <c:pt idx="626">
                  <c:v>2375.2184711642089</c:v>
                </c:pt>
                <c:pt idx="627">
                  <c:v>2380.0709161413074</c:v>
                </c:pt>
                <c:pt idx="628">
                  <c:v>2384.8189206915604</c:v>
                </c:pt>
                <c:pt idx="629">
                  <c:v>2389.4627062279201</c:v>
                </c:pt>
                <c:pt idx="630">
                  <c:v>2394.0024891693834</c:v>
                </c:pt>
                <c:pt idx="631">
                  <c:v>2398.4384810104157</c:v>
                </c:pt>
                <c:pt idx="632">
                  <c:v>2402.7708883899354</c:v>
                </c:pt>
                <c:pt idx="633">
                  <c:v>2406.9999131599557</c:v>
                </c:pt>
                <c:pt idx="634">
                  <c:v>2411.1257524539892</c:v>
                </c:pt>
                <c:pt idx="635">
                  <c:v>2415.148598755326</c:v>
                </c:pt>
                <c:pt idx="636">
                  <c:v>2419.068639965295</c:v>
                </c:pt>
                <c:pt idx="637">
                  <c:v>2422.8860594716275</c:v>
                </c:pt>
                <c:pt idx="638">
                  <c:v>2426.6010362170427</c:v>
                </c:pt>
                <c:pt idx="639">
                  <c:v>2430.2137447681848</c:v>
                </c:pt>
                <c:pt idx="640">
                  <c:v>2433.7243553850403</c:v>
                </c:pt>
                <c:pt idx="641">
                  <c:v>2437.1330340909717</c:v>
                </c:pt>
                <c:pt idx="642">
                  <c:v>2440.4399427435119</c:v>
                </c:pt>
                <c:pt idx="643">
                  <c:v>2443.6452391060625</c:v>
                </c:pt>
                <c:pt idx="644">
                  <c:v>2446.7490769206502</c:v>
                </c:pt>
                <c:pt idx="645">
                  <c:v>2449.7516059818931</c:v>
                </c:pt>
                <c:pt idx="646">
                  <c:v>2452.6529722123423</c:v>
                </c:pt>
                <c:pt idx="647">
                  <c:v>2455.4533177393578</c:v>
                </c:pt>
                <c:pt idx="648">
                  <c:v>2458.152780973689</c:v>
                </c:pt>
                <c:pt idx="649">
                  <c:v>2460.7514966899312</c:v>
                </c:pt>
                <c:pt idx="650">
                  <c:v>2463.2495961090235</c:v>
                </c:pt>
                <c:pt idx="651">
                  <c:v>2465.647206982967</c:v>
                </c:pt>
                <c:pt idx="652">
                  <c:v>2467.9444536819292</c:v>
                </c:pt>
                <c:pt idx="653">
                  <c:v>2470.1414572839076</c:v>
                </c:pt>
                <c:pt idx="654">
                  <c:v>2472.2383356671121</c:v>
                </c:pt>
                <c:pt idx="655">
                  <c:v>2474.235203605228</c:v>
                </c:pt>
                <c:pt idx="656">
                  <c:v>2476.1321728657099</c:v>
                </c:pt>
                <c:pt idx="657">
                  <c:v>2477.929352311241</c:v>
                </c:pt>
                <c:pt idx="658">
                  <c:v>2479.6268480044873</c:v>
                </c:pt>
                <c:pt idx="659">
                  <c:v>2481.2247633162556</c:v>
                </c:pt>
                <c:pt idx="660">
                  <c:v>2482.7231990371388</c:v>
                </c:pt>
                <c:pt idx="661">
                  <c:v>2484.1222534927242</c:v>
                </c:pt>
                <c:pt idx="662">
                  <c:v>2485.422022662397</c:v>
                </c:pt>
                <c:pt idx="663">
                  <c:v>2486.6226003017582</c:v>
                </c:pt>
                <c:pt idx="664">
                  <c:v>2487.7240780686329</c:v>
                </c:pt>
                <c:pt idx="665">
                  <c:v>2488.7265456526188</c:v>
                </c:pt>
                <c:pt idx="666">
                  <c:v>2489.6300909080819</c:v>
                </c:pt>
                <c:pt idx="667">
                  <c:v>2490.4347999904735</c:v>
                </c:pt>
                <c:pt idx="668">
                  <c:v>2491.1407574957989</c:v>
                </c:pt>
                <c:pt idx="669">
                  <c:v>2491.7480466030279</c:v>
                </c:pt>
                <c:pt idx="670">
                  <c:v>2492.2567492192002</c:v>
                </c:pt>
                <c:pt idx="671">
                  <c:v>2492.6669461269371</c:v>
                </c:pt>
                <c:pt idx="672">
                  <c:v>2492.9787171340326</c:v>
                </c:pt>
                <c:pt idx="673">
                  <c:v>2493.1921412247634</c:v>
                </c:pt>
                <c:pt idx="674">
                  <c:v>2493.3072967125281</c:v>
                </c:pt>
                <c:pt idx="675">
                  <c:v>2493.3242613933926</c:v>
                </c:pt>
                <c:pt idx="676">
                  <c:v>2493.2431127001055</c:v>
                </c:pt>
                <c:pt idx="677">
                  <c:v>2493.0639278561243</c:v>
                </c:pt>
                <c:pt idx="678">
                  <c:v>2492.786784029186</c:v>
                </c:pt>
                <c:pt idx="679">
                  <c:v>2492.4117584839501</c:v>
                </c:pt>
                <c:pt idx="680">
                  <c:v>2491.9389287332515</c:v>
                </c:pt>
                <c:pt idx="681">
                  <c:v>2491.3683726874997</c:v>
                </c:pt>
                <c:pt idx="682">
                  <c:v>2490.7001688017858</c:v>
                </c:pt>
                <c:pt idx="683">
                  <c:v>2489.9343962202761</c:v>
                </c:pt>
                <c:pt idx="684">
                  <c:v>2489.0711349174958</c:v>
                </c:pt>
                <c:pt idx="685">
                  <c:v>2488.1104658361432</c:v>
                </c:pt>
                <c:pt idx="686">
                  <c:v>2487.0524710211048</c:v>
                </c:pt>
                <c:pt idx="687">
                  <c:v>2485.8972337493751</c:v>
                </c:pt>
                <c:pt idx="688">
                  <c:v>2484.6448386556399</c:v>
                </c:pt>
                <c:pt idx="689">
                  <c:v>2483.2953718533013</c:v>
                </c:pt>
                <c:pt idx="690">
                  <c:v>2481.8489210507769</c:v>
                </c:pt>
                <c:pt idx="691">
                  <c:v>2480.3055756629465</c:v>
                </c:pt>
                <c:pt idx="692">
                  <c:v>2478.6654269176438</c:v>
                </c:pt>
                <c:pt idx="693">
                  <c:v>2476.9285679571467</c:v>
                </c:pt>
                <c:pt idx="694">
                  <c:v>2475.0950939346371</c:v>
                </c:pt>
                <c:pt idx="695">
                  <c:v>2473.165102105645</c:v>
                </c:pt>
                <c:pt idx="696">
                  <c:v>2471.1386919145102</c:v>
                </c:pt>
                <c:pt idx="697">
                  <c:v>2469.0159650759306</c:v>
                </c:pt>
                <c:pt idx="698">
                  <c:v>2466.7970256516783</c:v>
                </c:pt>
                <c:pt idx="699">
                  <c:v>2464.4819801225926</c:v>
                </c:pt>
                <c:pt idx="700">
                  <c:v>2462.0709374559683</c:v>
                </c:pt>
                <c:pt idx="701">
                  <c:v>2459.5640091684759</c:v>
                </c:pt>
                <c:pt idx="702">
                  <c:v>2456.9613093847565</c:v>
                </c:pt>
                <c:pt idx="703">
                  <c:v>2454.2629548918462</c:v>
                </c:pt>
                <c:pt idx="704">
                  <c:v>2451.4690651895849</c:v>
                </c:pt>
                <c:pt idx="705">
                  <c:v>2448.5797625371761</c:v>
                </c:pt>
                <c:pt idx="706">
                  <c:v>2445.5951719960553</c:v>
                </c:pt>
                <c:pt idx="707">
                  <c:v>2442.5154214692343</c:v>
                </c:pt>
                <c:pt idx="708">
                  <c:v>2439.3406417372821</c:v>
                </c:pt>
                <c:pt idx="709">
                  <c:v>2436.0709664911001</c:v>
                </c:pt>
                <c:pt idx="710">
                  <c:v>2432.7065323616503</c:v>
                </c:pt>
                <c:pt idx="711">
                  <c:v>2429.2474789467879</c:v>
                </c:pt>
                <c:pt idx="712">
                  <c:v>2425.6939488353423</c:v>
                </c:pt>
                <c:pt idx="713">
                  <c:v>2422.046087628592</c:v>
                </c:pt>
                <c:pt idx="714">
                  <c:v>2418.3040439592664</c:v>
                </c:pt>
                <c:pt idx="715">
                  <c:v>2414.4679695082082</c:v>
                </c:pt>
                <c:pt idx="716">
                  <c:v>2410.5380190188157</c:v>
                </c:pt>
                <c:pt idx="717">
                  <c:v>2406.51435030939</c:v>
                </c:pt>
                <c:pt idx="718">
                  <c:v>2402.3971242834914</c:v>
                </c:pt>
                <c:pt idx="719">
                  <c:v>2398.1865049384191</c:v>
                </c:pt>
                <c:pt idx="720">
                  <c:v>2393.8826593719104</c:v>
                </c:pt>
                <c:pt idx="721">
                  <c:v>2389.4857577871553</c:v>
                </c:pt>
                <c:pt idx="722">
                  <c:v>2384.9959734962167</c:v>
                </c:pt>
                <c:pt idx="723">
                  <c:v>2380.4134829219406</c:v>
                </c:pt>
                <c:pt idx="724">
                  <c:v>2375.7384655984356</c:v>
                </c:pt>
                <c:pt idx="725">
                  <c:v>2370.9711041701948</c:v>
                </c:pt>
                <c:pt idx="726">
                  <c:v>2366.1115843899352</c:v>
                </c:pt>
                <c:pt idx="727">
                  <c:v>2361.1600951152127</c:v>
                </c:pt>
                <c:pt idx="728">
                  <c:v>2356.1168283038828</c:v>
                </c:pt>
                <c:pt idx="729">
                  <c:v>2350.9819790084571</c:v>
                </c:pt>
                <c:pt idx="730">
                  <c:v>2345.7557453694167</c:v>
                </c:pt>
                <c:pt idx="731">
                  <c:v>2340.4383286075295</c:v>
                </c:pt>
                <c:pt idx="732">
                  <c:v>2335.0299330152188</c:v>
                </c:pt>
                <c:pt idx="733">
                  <c:v>2329.5307659470318</c:v>
                </c:pt>
                <c:pt idx="734">
                  <c:v>2323.9410378092452</c:v>
                </c:pt>
                <c:pt idx="735">
                  <c:v>2318.2609620486501</c:v>
                </c:pt>
                <c:pt idx="736">
                  <c:v>2312.4907551405527</c:v>
                </c:pt>
                <c:pt idx="737">
                  <c:v>2306.6306365760265</c:v>
                </c:pt>
                <c:pt idx="738">
                  <c:v>2300.6808288484453</c:v>
                </c:pt>
                <c:pt idx="739">
                  <c:v>2294.64155743933</c:v>
                </c:pt>
                <c:pt idx="740">
                  <c:v>2288.513050803539</c:v>
                </c:pt>
                <c:pt idx="741">
                  <c:v>2282.2955403538272</c:v>
                </c:pt>
                <c:pt idx="742">
                  <c:v>2275.9892604447978</c:v>
                </c:pt>
                <c:pt idx="743">
                  <c:v>2269.5944483562757</c:v>
                </c:pt>
                <c:pt idx="744">
                  <c:v>2263.1113442761202</c:v>
                </c:pt>
                <c:pt idx="745">
                  <c:v>2256.5401912825014</c:v>
                </c:pt>
                <c:pt idx="746">
                  <c:v>2249.8812353256581</c:v>
                </c:pt>
                <c:pt idx="747">
                  <c:v>2243.1347252091591</c:v>
                </c:pt>
                <c:pt idx="748">
                  <c:v>2236.3009125706835</c:v>
                </c:pt>
                <c:pt idx="749">
                  <c:v>2229.3800518623375</c:v>
                </c:pt>
                <c:pt idx="750">
                  <c:v>2222.3724003305256</c:v>
                </c:pt>
                <c:pt idx="751">
                  <c:v>2215.2782179953902</c:v>
                </c:pt>
                <c:pt idx="752">
                  <c:v>2208.0977676298339</c:v>
                </c:pt>
                <c:pt idx="753">
                  <c:v>2200.83131473814</c:v>
                </c:pt>
                <c:pt idx="754">
                  <c:v>2193.4791275342036</c:v>
                </c:pt>
                <c:pt idx="755">
                  <c:v>2186.0414769193849</c:v>
                </c:pt>
                <c:pt idx="756">
                  <c:v>2178.518636459999</c:v>
                </c:pt>
                <c:pt idx="757">
                  <c:v>2170.9108823644547</c:v>
                </c:pt>
                <c:pt idx="758">
                  <c:v>2163.2184934600473</c:v>
                </c:pt>
                <c:pt idx="759">
                  <c:v>2155.441751169426</c:v>
                </c:pt>
                <c:pt idx="760">
                  <c:v>2147.580939486736</c:v>
                </c:pt>
                <c:pt idx="761">
                  <c:v>2139.6363449534538</c:v>
                </c:pt>
                <c:pt idx="762">
                  <c:v>2131.6082566339182</c:v>
                </c:pt>
                <c:pt idx="763">
                  <c:v>2123.4969660905726</c:v>
                </c:pt>
                <c:pt idx="764">
                  <c:v>2115.3027673589231</c:v>
                </c:pt>
                <c:pt idx="765">
                  <c:v>2107.0259569222226</c:v>
                </c:pt>
                <c:pt idx="766">
                  <c:v>2098.6668336858897</c:v>
                </c:pt>
                <c:pt idx="767">
                  <c:v>2090.2256989516695</c:v>
                </c:pt>
                <c:pt idx="768">
                  <c:v>2081.7028563915455</c:v>
                </c:pt>
                <c:pt idx="769">
                  <c:v>2073.0986120214097</c:v>
                </c:pt>
                <c:pt idx="770">
                  <c:v>2064.4132741744988</c:v>
                </c:pt>
                <c:pt idx="771">
                  <c:v>2055.647153474602</c:v>
                </c:pt>
                <c:pt idx="772">
                  <c:v>2046.8005628090509</c:v>
                </c:pt>
                <c:pt idx="773">
                  <c:v>2037.8738173014965</c:v>
                </c:pt>
                <c:pt idx="774">
                  <c:v>2028.8672342844793</c:v>
                </c:pt>
                <c:pt idx="775">
                  <c:v>2019.7811332718022</c:v>
                </c:pt>
                <c:pt idx="776">
                  <c:v>2010.615835930709</c:v>
                </c:pt>
                <c:pt idx="777">
                  <c:v>2001.3716660538789</c:v>
                </c:pt>
                <c:pt idx="778">
                  <c:v>1992.0489495312411</c:v>
                </c:pt>
                <c:pt idx="779">
                  <c:v>1982.6480143216149</c:v>
                </c:pt>
                <c:pt idx="780">
                  <c:v>1973.1691904241854</c:v>
                </c:pt>
                <c:pt idx="781">
                  <c:v>1963.6128098498164</c:v>
                </c:pt>
                <c:pt idx="782">
                  <c:v>1953.979206592209</c:v>
                </c:pt>
                <c:pt idx="783">
                  <c:v>1944.2687165989121</c:v>
                </c:pt>
                <c:pt idx="784">
                  <c:v>1934.4816777421893</c:v>
                </c:pt>
                <c:pt idx="785">
                  <c:v>1924.6184297897489</c:v>
                </c:pt>
                <c:pt idx="786">
                  <c:v>1914.679314375343</c:v>
                </c:pt>
                <c:pt idx="787">
                  <c:v>1904.6646749692397</c:v>
                </c:pt>
                <c:pt idx="788">
                  <c:v>1894.5748568485772</c:v>
                </c:pt>
                <c:pt idx="789">
                  <c:v>1884.4102070676017</c:v>
                </c:pt>
                <c:pt idx="790">
                  <c:v>1874.171074427798</c:v>
                </c:pt>
                <c:pt idx="791">
                  <c:v>1863.8578094479149</c:v>
                </c:pt>
                <c:pt idx="792">
                  <c:v>1853.4707643338941</c:v>
                </c:pt>
                <c:pt idx="793">
                  <c:v>1843.0102929487064</c:v>
                </c:pt>
                <c:pt idx="794">
                  <c:v>1832.4767507821002</c:v>
                </c:pt>
                <c:pt idx="795">
                  <c:v>1821.8704949202679</c:v>
                </c:pt>
                <c:pt idx="796">
                  <c:v>1811.1918840154365</c:v>
                </c:pt>
                <c:pt idx="797">
                  <c:v>1800.4412782553861</c:v>
                </c:pt>
                <c:pt idx="798">
                  <c:v>1789.6190393329034</c:v>
                </c:pt>
                <c:pt idx="799">
                  <c:v>1778.7255304151722</c:v>
                </c:pt>
                <c:pt idx="800">
                  <c:v>1767.7611161131099</c:v>
                </c:pt>
                <c:pt idx="801">
                  <c:v>1756.7261624506525</c:v>
                </c:pt>
                <c:pt idx="802">
                  <c:v>1745.6210368339941</c:v>
                </c:pt>
                <c:pt idx="803">
                  <c:v>1734.4461080207857</c:v>
                </c:pt>
                <c:pt idx="804">
                  <c:v>1723.2017460892982</c:v>
                </c:pt>
                <c:pt idx="805">
                  <c:v>1711.8883224075551</c:v>
                </c:pt>
                <c:pt idx="806">
                  <c:v>1700.506209602439</c:v>
                </c:pt>
                <c:pt idx="807">
                  <c:v>1689.0557815287789</c:v>
                </c:pt>
                <c:pt idx="808">
                  <c:v>1677.5374132384193</c:v>
                </c:pt>
                <c:pt idx="809">
                  <c:v>1665.95148094928</c:v>
                </c:pt>
                <c:pt idx="810">
                  <c:v>1654.2983620144096</c:v>
                </c:pt>
                <c:pt idx="811">
                  <c:v>1642.5784348910367</c:v>
                </c:pt>
                <c:pt idx="812">
                  <c:v>1630.792079109626</c:v>
                </c:pt>
                <c:pt idx="813">
                  <c:v>1618.9396752429413</c:v>
                </c:pt>
                <c:pt idx="814">
                  <c:v>1607.0216048751222</c:v>
                </c:pt>
                <c:pt idx="815">
                  <c:v>1595.0382505707776</c:v>
                </c:pt>
                <c:pt idx="816">
                  <c:v>1582.9899958441031</c:v>
                </c:pt>
                <c:pt idx="817">
                  <c:v>1570.8772251280232</c:v>
                </c:pt>
                <c:pt idx="818">
                  <c:v>1558.7003237433669</c:v>
                </c:pt>
                <c:pt idx="819">
                  <c:v>1546.4596778680777</c:v>
                </c:pt>
                <c:pt idx="820">
                  <c:v>1534.1556745064661</c:v>
                </c:pt>
                <c:pt idx="821">
                  <c:v>1521.7887014585051</c:v>
                </c:pt>
                <c:pt idx="822">
                  <c:v>1509.3591472891771</c:v>
                </c:pt>
                <c:pt idx="823">
                  <c:v>1496.8674012978743</c:v>
                </c:pt>
                <c:pt idx="824">
                  <c:v>1484.3138534878565</c:v>
                </c:pt>
                <c:pt idx="825">
                  <c:v>1471.6988945357734</c:v>
                </c:pt>
                <c:pt idx="826">
                  <c:v>1459.0229157612534</c:v>
                </c:pt>
                <c:pt idx="827">
                  <c:v>1446.2863090965632</c:v>
                </c:pt>
                <c:pt idx="828">
                  <c:v>1433.489467056344</c:v>
                </c:pt>
                <c:pt idx="829">
                  <c:v>1420.6327827074272</c:v>
                </c:pt>
                <c:pt idx="830">
                  <c:v>1407.7166496387349</c:v>
                </c:pt>
                <c:pt idx="831">
                  <c:v>1394.7414619312681</c:v>
                </c:pt>
                <c:pt idx="832">
                  <c:v>1381.7076141281871</c:v>
                </c:pt>
                <c:pt idx="833">
                  <c:v>1368.6155012049892</c:v>
                </c:pt>
                <c:pt idx="834">
                  <c:v>1355.4655185397871</c:v>
                </c:pt>
                <c:pt idx="835">
                  <c:v>1342.258061883691</c:v>
                </c:pt>
                <c:pt idx="836">
                  <c:v>1328.9935273312992</c:v>
                </c:pt>
                <c:pt idx="837">
                  <c:v>1315.6723112913028</c:v>
                </c:pt>
                <c:pt idx="838">
                  <c:v>1302.2948104572044</c:v>
                </c:pt>
                <c:pt idx="839">
                  <c:v>1288.861421778159</c:v>
                </c:pt>
                <c:pt idx="840">
                  <c:v>1275.3725424299373</c:v>
                </c:pt>
                <c:pt idx="841">
                  <c:v>1261.8285697860185</c:v>
                </c:pt>
                <c:pt idx="842">
                  <c:v>1248.2299013888123</c:v>
                </c:pt>
                <c:pt idx="843">
                  <c:v>1234.5769349210175</c:v>
                </c:pt>
                <c:pt idx="844">
                  <c:v>1220.8700681771195</c:v>
                </c:pt>
                <c:pt idx="845">
                  <c:v>1207.1096990350291</c:v>
                </c:pt>
                <c:pt idx="846">
                  <c:v>1193.2962254278671</c:v>
                </c:pt>
                <c:pt idx="847">
                  <c:v>1179.4300453158992</c:v>
                </c:pt>
                <c:pt idx="848">
                  <c:v>1165.5115566586223</c:v>
                </c:pt>
                <c:pt idx="849">
                  <c:v>1151.5411573870083</c:v>
                </c:pt>
                <c:pt idx="850">
                  <c:v>1137.5192453759055</c:v>
                </c:pt>
                <c:pt idx="851">
                  <c:v>1123.4462184166043</c:v>
                </c:pt>
                <c:pt idx="852">
                  <c:v>1109.3224741895679</c:v>
                </c:pt>
                <c:pt idx="853">
                  <c:v>1095.1484102373315</c:v>
                </c:pt>
                <c:pt idx="854">
                  <c:v>1080.9244239375762</c:v>
                </c:pt>
                <c:pt idx="855">
                  <c:v>1066.6509124763743</c:v>
                </c:pt>
                <c:pt idx="856">
                  <c:v>1052.3282728216168</c:v>
                </c:pt>
                <c:pt idx="857">
                  <c:v>1037.9569016966186</c:v>
                </c:pt>
                <c:pt idx="858">
                  <c:v>1023.5371955539113</c:v>
                </c:pt>
                <c:pt idx="859">
                  <c:v>1009.0695505492196</c:v>
                </c:pt>
                <c:pt idx="860">
                  <c:v>994.55436251563037</c:v>
                </c:pt>
                <c:pt idx="861">
                  <c:v>979.99202693795257</c:v>
                </c:pt>
                <c:pt idx="862">
                  <c:v>965.38293892727302</c:v>
                </c:pt>
                <c:pt idx="863">
                  <c:v>950.72749319571005</c:v>
                </c:pt>
                <c:pt idx="864">
                  <c:v>936.02608403136765</c:v>
                </c:pt>
                <c:pt idx="865">
                  <c:v>921.27910527349241</c:v>
                </c:pt>
                <c:pt idx="866">
                  <c:v>906.48695028783629</c:v>
                </c:pt>
                <c:pt idx="867">
                  <c:v>891.65001194222714</c:v>
                </c:pt>
                <c:pt idx="868">
                  <c:v>876.76868258234913</c:v>
                </c:pt>
                <c:pt idx="869">
                  <c:v>861.84335400773648</c:v>
                </c:pt>
                <c:pt idx="870">
                  <c:v>846.8744174479815</c:v>
                </c:pt>
                <c:pt idx="871">
                  <c:v>831.86226353915947</c:v>
                </c:pt>
                <c:pt idx="872">
                  <c:v>816.80728230047293</c:v>
                </c:pt>
                <c:pt idx="873">
                  <c:v>801.70986311111733</c:v>
                </c:pt>
                <c:pt idx="874">
                  <c:v>786.57039468736934</c:v>
                </c:pt>
                <c:pt idx="875">
                  <c:v>771.38926505990071</c:v>
                </c:pt>
                <c:pt idx="876">
                  <c:v>756.16686155131913</c:v>
                </c:pt>
                <c:pt idx="877">
                  <c:v>740.90357075393774</c:v>
                </c:pt>
                <c:pt idx="878">
                  <c:v>725.59977850777545</c:v>
                </c:pt>
                <c:pt idx="879">
                  <c:v>710.25586987878989</c:v>
                </c:pt>
                <c:pt idx="880">
                  <c:v>694.87222913734377</c:v>
                </c:pt>
                <c:pt idx="881">
                  <c:v>679.44923973690743</c:v>
                </c:pt>
                <c:pt idx="882">
                  <c:v>663.98728429299808</c:v>
                </c:pt>
                <c:pt idx="883">
                  <c:v>648.48674456235824</c:v>
                </c:pt>
                <c:pt idx="884">
                  <c:v>632.94800142237375</c:v>
                </c:pt>
                <c:pt idx="885">
                  <c:v>617.37143485073341</c:v>
                </c:pt>
                <c:pt idx="886">
                  <c:v>601.75742390533139</c:v>
                </c:pt>
                <c:pt idx="887">
                  <c:v>586.10634670441357</c:v>
                </c:pt>
                <c:pt idx="888">
                  <c:v>570.418580406969</c:v>
                </c:pt>
                <c:pt idx="889">
                  <c:v>554.69450119336761</c:v>
                </c:pt>
                <c:pt idx="890">
                  <c:v>538.93448424624535</c:v>
                </c:pt>
                <c:pt idx="891">
                  <c:v>523.13890373163792</c:v>
                </c:pt>
                <c:pt idx="892">
                  <c:v>507.30813278036345</c:v>
                </c:pt>
                <c:pt idx="893">
                  <c:v>491.44254346965533</c:v>
                </c:pt>
                <c:pt idx="894">
                  <c:v>475.54250680504663</c:v>
                </c:pt>
                <c:pt idx="895">
                  <c:v>459.6083927025058</c:v>
                </c:pt>
                <c:pt idx="896">
                  <c:v>443.6405699708252</c:v>
                </c:pt>
                <c:pt idx="897">
                  <c:v>427.63940629426281</c:v>
                </c:pt>
                <c:pt idx="898">
                  <c:v>411.6052682154376</c:v>
                </c:pt>
                <c:pt idx="899">
                  <c:v>395.53852111847954</c:v>
                </c:pt>
                <c:pt idx="900">
                  <c:v>379.43952921243419</c:v>
                </c:pt>
                <c:pt idx="901">
                  <c:v>363.3086555149228</c:v>
                </c:pt>
                <c:pt idx="902">
                  <c:v>347.14626183605793</c:v>
                </c:pt>
                <c:pt idx="903">
                  <c:v>330.95270876261537</c:v>
                </c:pt>
                <c:pt idx="904">
                  <c:v>314.72835564246191</c:v>
                </c:pt>
                <c:pt idx="905">
                  <c:v>298.47356056924002</c:v>
                </c:pt>
                <c:pt idx="906">
                  <c:v>282.1886803673089</c:v>
                </c:pt>
                <c:pt idx="907">
                  <c:v>265.87407057694259</c:v>
                </c:pt>
                <c:pt idx="908">
                  <c:v>249.53008543978461</c:v>
                </c:pt>
                <c:pt idx="909">
                  <c:v>233.1570778845597</c:v>
                </c:pt>
                <c:pt idx="910">
                  <c:v>216.75539951304216</c:v>
                </c:pt>
                <c:pt idx="911">
                  <c:v>200.32540058628106</c:v>
                </c:pt>
                <c:pt idx="912">
                  <c:v>183.86743001108186</c:v>
                </c:pt>
                <c:pt idx="913">
                  <c:v>167.38183532674441</c:v>
                </c:pt>
                <c:pt idx="914">
                  <c:v>150.86896269205704</c:v>
                </c:pt>
                <c:pt idx="915">
                  <c:v>134.32915687254652</c:v>
                </c:pt>
                <c:pt idx="916">
                  <c:v>117.7627612279833</c:v>
                </c:pt>
                <c:pt idx="917">
                  <c:v>101.17011770014194</c:v>
                </c:pt>
                <c:pt idx="918">
                  <c:v>84.551566800816019</c:v>
                </c:pt>
                <c:pt idx="919">
                  <c:v>67.907447600087224</c:v>
                </c:pt>
                <c:pt idx="920">
                  <c:v>51.238097714847981</c:v>
                </c:pt>
                <c:pt idx="921">
                  <c:v>34.543853297577002</c:v>
                </c:pt>
                <c:pt idx="922">
                  <c:v>17.825049025367225</c:v>
                </c:pt>
                <c:pt idx="923">
                  <c:v>1.0820180892053841</c:v>
                </c:pt>
                <c:pt idx="924">
                  <c:v>-15.684907816497475</c:v>
                </c:pt>
                <c:pt idx="925">
                  <c:v>-15.701686618852097</c:v>
                </c:pt>
                <c:pt idx="926">
                  <c:v>-15.718465444606622</c:v>
                </c:pt>
                <c:pt idx="927">
                  <c:v>-15.735244293760722</c:v>
                </c:pt>
                <c:pt idx="928">
                  <c:v>-15.75202316631407</c:v>
                </c:pt>
                <c:pt idx="929">
                  <c:v>-15.768802062266339</c:v>
                </c:pt>
                <c:pt idx="930">
                  <c:v>-15.785580981617201</c:v>
                </c:pt>
                <c:pt idx="931">
                  <c:v>-15.80235992436633</c:v>
                </c:pt>
                <c:pt idx="932">
                  <c:v>-15.819138890513399</c:v>
                </c:pt>
                <c:pt idx="933">
                  <c:v>-15.835917880058078</c:v>
                </c:pt>
                <c:pt idx="934">
                  <c:v>-15.852696893000042</c:v>
                </c:pt>
                <c:pt idx="935">
                  <c:v>-15.869475929338964</c:v>
                </c:pt>
                <c:pt idx="936">
                  <c:v>-15.886254989074517</c:v>
                </c:pt>
                <c:pt idx="937">
                  <c:v>-15.903034072206372</c:v>
                </c:pt>
                <c:pt idx="938">
                  <c:v>-15.919813178734204</c:v>
                </c:pt>
                <c:pt idx="939">
                  <c:v>-15.936592308657684</c:v>
                </c:pt>
                <c:pt idx="940">
                  <c:v>-15.953371461976484</c:v>
                </c:pt>
                <c:pt idx="941">
                  <c:v>-15.97015063869028</c:v>
                </c:pt>
                <c:pt idx="942">
                  <c:v>-15.986929838798742</c:v>
                </c:pt>
                <c:pt idx="943">
                  <c:v>-16.003709062301546</c:v>
                </c:pt>
                <c:pt idx="944">
                  <c:v>-16.02048830919836</c:v>
                </c:pt>
                <c:pt idx="945">
                  <c:v>-16.037267579488862</c:v>
                </c:pt>
                <c:pt idx="946">
                  <c:v>-16.054046873172723</c:v>
                </c:pt>
                <c:pt idx="947">
                  <c:v>-16.070826190249612</c:v>
                </c:pt>
                <c:pt idx="948">
                  <c:v>-16.087605530719205</c:v>
                </c:pt>
                <c:pt idx="949">
                  <c:v>-16.104384894581177</c:v>
                </c:pt>
                <c:pt idx="950">
                  <c:v>-16.121164281835195</c:v>
                </c:pt>
                <c:pt idx="951">
                  <c:v>-16.137943692480938</c:v>
                </c:pt>
                <c:pt idx="952">
                  <c:v>-16.154723126518075</c:v>
                </c:pt>
                <c:pt idx="953">
                  <c:v>-16.171502583946282</c:v>
                </c:pt>
                <c:pt idx="954">
                  <c:v>-16.188282064765229</c:v>
                </c:pt>
                <c:pt idx="955">
                  <c:v>-16.205061568974589</c:v>
                </c:pt>
                <c:pt idx="956">
                  <c:v>-16.221841096574035</c:v>
                </c:pt>
                <c:pt idx="957">
                  <c:v>-16.238620647563241</c:v>
                </c:pt>
                <c:pt idx="958">
                  <c:v>-16.25540022194188</c:v>
                </c:pt>
                <c:pt idx="959">
                  <c:v>-16.272179819709624</c:v>
                </c:pt>
                <c:pt idx="960">
                  <c:v>-16.288959440866144</c:v>
                </c:pt>
                <c:pt idx="961">
                  <c:v>-16.305739085411115</c:v>
                </c:pt>
                <c:pt idx="962">
                  <c:v>-16.322518753344209</c:v>
                </c:pt>
                <c:pt idx="963">
                  <c:v>-16.339298444665101</c:v>
                </c:pt>
                <c:pt idx="964">
                  <c:v>-16.35607815937346</c:v>
                </c:pt>
                <c:pt idx="965">
                  <c:v>-16.372857897468961</c:v>
                </c:pt>
                <c:pt idx="966">
                  <c:v>-16.389637658951276</c:v>
                </c:pt>
                <c:pt idx="967">
                  <c:v>-16.406417443820082</c:v>
                </c:pt>
                <c:pt idx="968">
                  <c:v>-16.423197252075045</c:v>
                </c:pt>
                <c:pt idx="969">
                  <c:v>-16.439977083715842</c:v>
                </c:pt>
                <c:pt idx="970">
                  <c:v>-16.456756938742146</c:v>
                </c:pt>
                <c:pt idx="971">
                  <c:v>-16.473536817153629</c:v>
                </c:pt>
                <c:pt idx="972">
                  <c:v>-16.490316718949963</c:v>
                </c:pt>
                <c:pt idx="973">
                  <c:v>-16.507096644130822</c:v>
                </c:pt>
                <c:pt idx="974">
                  <c:v>-16.523876592695878</c:v>
                </c:pt>
                <c:pt idx="975">
                  <c:v>-16.540656564644806</c:v>
                </c:pt>
                <c:pt idx="976">
                  <c:v>-16.557436559977276</c:v>
                </c:pt>
                <c:pt idx="977">
                  <c:v>-16.574216578692962</c:v>
                </c:pt>
                <c:pt idx="978">
                  <c:v>-16.590996620791536</c:v>
                </c:pt>
                <c:pt idx="979">
                  <c:v>-16.607776686272672</c:v>
                </c:pt>
                <c:pt idx="980">
                  <c:v>-16.624556775136043</c:v>
                </c:pt>
                <c:pt idx="981">
                  <c:v>-16.641336887381321</c:v>
                </c:pt>
                <c:pt idx="982">
                  <c:v>-16.658117023008181</c:v>
                </c:pt>
                <c:pt idx="983">
                  <c:v>-16.674897182016295</c:v>
                </c:pt>
                <c:pt idx="984">
                  <c:v>-16.691677364405333</c:v>
                </c:pt>
                <c:pt idx="985">
                  <c:v>-16.708457570174971</c:v>
                </c:pt>
                <c:pt idx="986">
                  <c:v>-16.72523779932488</c:v>
                </c:pt>
                <c:pt idx="987">
                  <c:v>-16.742018051854735</c:v>
                </c:pt>
                <c:pt idx="988">
                  <c:v>-16.758798327764207</c:v>
                </c:pt>
                <c:pt idx="989">
                  <c:v>-16.775578627052969</c:v>
                </c:pt>
                <c:pt idx="990">
                  <c:v>-16.792358949720693</c:v>
                </c:pt>
                <c:pt idx="991">
                  <c:v>-16.809139295767054</c:v>
                </c:pt>
                <c:pt idx="992">
                  <c:v>-16.825919665191723</c:v>
                </c:pt>
                <c:pt idx="993">
                  <c:v>-16.842700057994374</c:v>
                </c:pt>
                <c:pt idx="994">
                  <c:v>-16.859480474174681</c:v>
                </c:pt>
                <c:pt idx="995">
                  <c:v>-16.876260913732317</c:v>
                </c:pt>
                <c:pt idx="996">
                  <c:v>-16.893041376666954</c:v>
                </c:pt>
                <c:pt idx="997">
                  <c:v>-16.909821862978262</c:v>
                </c:pt>
                <c:pt idx="998">
                  <c:v>-16.926602372665918</c:v>
                </c:pt>
                <c:pt idx="999">
                  <c:v>-16.943382905729592</c:v>
                </c:pt>
                <c:pt idx="1000">
                  <c:v>-16.960163462168957</c:v>
                </c:pt>
              </c:numCache>
            </c:numRef>
          </c:yVal>
          <c:smooth val="0"/>
          <c:extLst>
            <c:ext xmlns:c16="http://schemas.microsoft.com/office/drawing/2014/chart" uri="{C3380CC4-5D6E-409C-BE32-E72D297353CC}">
              <c16:uniqueId val="{00000001-8016-4DF9-AB17-EDCEE1754333}"/>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Orignal (Pro75-3G C)</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0.01</c:v>
                </c:pt>
                <c:pt idx="2">
                  <c:v>0.1</c:v>
                </c:pt>
                <c:pt idx="3">
                  <c:v>0.12</c:v>
                </c:pt>
                <c:pt idx="4">
                  <c:v>0.26</c:v>
                </c:pt>
                <c:pt idx="5">
                  <c:v>0.71</c:v>
                </c:pt>
                <c:pt idx="6">
                  <c:v>1.28</c:v>
                </c:pt>
                <c:pt idx="7">
                  <c:v>2.0499999999999998</c:v>
                </c:pt>
                <c:pt idx="8">
                  <c:v>2.41</c:v>
                </c:pt>
                <c:pt idx="9">
                  <c:v>2.83</c:v>
                </c:pt>
                <c:pt idx="10">
                  <c:v>3.25</c:v>
                </c:pt>
                <c:pt idx="11">
                  <c:v>3.65</c:v>
                </c:pt>
                <c:pt idx="12">
                  <c:v>3.8</c:v>
                </c:pt>
                <c:pt idx="13">
                  <c:v>4</c:v>
                </c:pt>
                <c:pt idx="14">
                  <c:v>4.0999999999999996</c:v>
                </c:pt>
                <c:pt idx="15">
                  <c:v>4.1900000000000004</c:v>
                </c:pt>
                <c:pt idx="16">
                  <c:v>4.3099999999999996</c:v>
                </c:pt>
                <c:pt idx="17">
                  <c:v>4.41</c:v>
                </c:pt>
                <c:pt idx="18">
                  <c:v>4.5199999999999996</c:v>
                </c:pt>
                <c:pt idx="19">
                  <c:v>4.5999999999999996</c:v>
                </c:pt>
                <c:pt idx="20">
                  <c:v>4.6500000000000004</c:v>
                </c:pt>
                <c:pt idx="21">
                  <c:v>4.67</c:v>
                </c:pt>
                <c:pt idx="22">
                  <c:v>4.68</c:v>
                </c:pt>
              </c:numCache>
            </c:numRef>
          </c:xVal>
          <c:yVal>
            <c:numRef>
              <c:f>Propu!$B$4:$X$4</c:f>
              <c:numCache>
                <c:formatCode>General</c:formatCode>
                <c:ptCount val="23"/>
                <c:pt idx="0">
                  <c:v>27</c:v>
                </c:pt>
                <c:pt idx="1">
                  <c:v>402.4</c:v>
                </c:pt>
                <c:pt idx="2">
                  <c:v>1286</c:v>
                </c:pt>
                <c:pt idx="3">
                  <c:v>1257</c:v>
                </c:pt>
                <c:pt idx="4">
                  <c:v>1042</c:v>
                </c:pt>
                <c:pt idx="5">
                  <c:v>1027</c:v>
                </c:pt>
                <c:pt idx="6">
                  <c:v>998.4</c:v>
                </c:pt>
                <c:pt idx="7">
                  <c:v>901.4</c:v>
                </c:pt>
                <c:pt idx="8">
                  <c:v>849.6</c:v>
                </c:pt>
                <c:pt idx="9">
                  <c:v>763.5</c:v>
                </c:pt>
                <c:pt idx="10">
                  <c:v>707.1</c:v>
                </c:pt>
                <c:pt idx="11">
                  <c:v>655.1</c:v>
                </c:pt>
                <c:pt idx="12">
                  <c:v>651.70000000000005</c:v>
                </c:pt>
                <c:pt idx="13">
                  <c:v>624.1</c:v>
                </c:pt>
                <c:pt idx="14">
                  <c:v>601.29999999999995</c:v>
                </c:pt>
                <c:pt idx="15">
                  <c:v>536.20000000000005</c:v>
                </c:pt>
                <c:pt idx="16">
                  <c:v>415.7</c:v>
                </c:pt>
                <c:pt idx="17">
                  <c:v>270.2</c:v>
                </c:pt>
                <c:pt idx="18">
                  <c:v>140.19999999999999</c:v>
                </c:pt>
                <c:pt idx="19">
                  <c:v>76.900000000000006</c:v>
                </c:pt>
                <c:pt idx="20">
                  <c:v>54.9</c:v>
                </c:pt>
                <c:pt idx="21">
                  <c:v>40.200000000000003</c:v>
                </c:pt>
                <c:pt idx="22">
                  <c:v>0</c:v>
                </c:pt>
              </c:numCache>
            </c:numRef>
          </c:yVal>
          <c:smooth val="0"/>
          <c:extLst>
            <c:ext xmlns:c16="http://schemas.microsoft.com/office/drawing/2014/chart" uri="{C3380CC4-5D6E-409C-BE32-E72D297353CC}">
              <c16:uniqueId val="{00000000-11ED-44DF-887D-194E91E3F465}"/>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2" inc="25" max="30000" noThreeD="1" page="10" val="250"/>
</file>

<file path=xl/ctrlProps/ctrlProp10.xml><?xml version="1.0" encoding="utf-8"?>
<formControlPr xmlns="http://schemas.microsoft.com/office/spreadsheetml/2009/9/main" objectType="Spin" dx="15" fmlaLink="$C$32" max="6" min="3" noThreeD="1" page="10" val="4"/>
</file>

<file path=xl/ctrlProps/ctrlProp11.xml><?xml version="1.0" encoding="utf-8"?>
<formControlPr xmlns="http://schemas.microsoft.com/office/spreadsheetml/2009/9/main" objectType="Spin" dx="15" fmlaLink="$C$13" inc="50" max="30000" noThreeD="1" page="10" val="1800"/>
</file>

<file path=xl/ctrlProps/ctrlProp12.xml><?xml version="1.0" encoding="utf-8"?>
<formControlPr xmlns="http://schemas.microsoft.com/office/spreadsheetml/2009/9/main" objectType="Spin" dx="15" fmlaLink="$C$11" inc="100" max="30000" noThreeD="1" page="10" val="9000"/>
</file>

<file path=xl/ctrlProps/ctrlProp13.xml><?xml version="1.0" encoding="utf-8"?>
<formControlPr xmlns="http://schemas.microsoft.com/office/spreadsheetml/2009/9/main" objectType="Spin" dx="15" fmlaLink="$C$11" inc="100" max="30000" noThreeD="1" page="10" val="9000"/>
</file>

<file path=xl/ctrlProps/ctrlProp14.xml><?xml version="1.0" encoding="utf-8"?>
<formControlPr xmlns="http://schemas.microsoft.com/office/spreadsheetml/2009/9/main" objectType="Spin" dx="15" fmlaLink="Stabilito!C11" inc="100" max="30000" noThreeD="1" page="10" val="9000"/>
</file>

<file path=xl/ctrlProps/ctrlProp15.xml><?xml version="1.0" encoding="utf-8"?>
<formControlPr xmlns="http://schemas.microsoft.com/office/spreadsheetml/2009/9/main" objectType="Spin" dx="15" fmlaLink="$B$43" inc="50" max="30000" noThreeD="1" page="10" val="400"/>
</file>

<file path=xl/ctrlProps/ctrlProp16.xml><?xml version="1.0" encoding="utf-8"?>
<formControlPr xmlns="http://schemas.microsoft.com/office/spreadsheetml/2009/9/main" objectType="Spin" dx="15" fmlaLink="$B$45" inc="50" max="30000" noThreeD="1" page="10" val="300"/>
</file>

<file path=xl/ctrlProps/ctrlProp17.xml><?xml version="1.0" encoding="utf-8"?>
<formControlPr xmlns="http://schemas.microsoft.com/office/spreadsheetml/2009/9/main" objectType="Spin" dx="15" fmlaLink="$B$51" inc="50" max="30000" noThreeD="1" page="10" val="1000"/>
</file>

<file path=xl/ctrlProps/ctrlProp18.xml><?xml version="1.0" encoding="utf-8"?>
<formControlPr xmlns="http://schemas.microsoft.com/office/spreadsheetml/2009/9/main" objectType="Spin" dx="15" fmlaLink="$B$53" inc="5" max="30000" noThreeD="1" page="10" val="100"/>
</file>

<file path=xl/ctrlProps/ctrlProp19.xml><?xml version="1.0" encoding="utf-8"?>
<formControlPr xmlns="http://schemas.microsoft.com/office/spreadsheetml/2009/9/main" objectType="Spin" dx="15" fmlaLink="Stabilito!C11" inc="100" max="30000" noThreeD="1" page="10" val="9000"/>
</file>

<file path=xl/ctrlProps/ctrlProp2.xml><?xml version="1.0" encoding="utf-8"?>
<formControlPr xmlns="http://schemas.microsoft.com/office/spreadsheetml/2009/9/main" objectType="Spin" dx="15" fmlaLink="$C$11" inc="100" max="30000" noThreeD="1" page="10" val="9000"/>
</file>

<file path=xl/ctrlProps/ctrlProp20.xml><?xml version="1.0" encoding="utf-8"?>
<formControlPr xmlns="http://schemas.microsoft.com/office/spreadsheetml/2009/9/main" objectType="Spin" dx="15" fmlaLink="Stabilito!C11" inc="100" max="30000" noThreeD="1" page="10" val="9000"/>
</file>

<file path=xl/ctrlProps/ctrlProp3.xml><?xml version="1.0" encoding="utf-8"?>
<formControlPr xmlns="http://schemas.microsoft.com/office/spreadsheetml/2009/9/main" objectType="Spin" dx="15" fmlaLink="$C$12" inc="50" max="30000" noThreeD="1" page="10" val="1140"/>
</file>

<file path=xl/ctrlProps/ctrlProp4.xml><?xml version="1.0" encoding="utf-8"?>
<formControlPr xmlns="http://schemas.microsoft.com/office/spreadsheetml/2009/9/main" objectType="Spin" dx="15" fmlaLink="$C$23" inc="20" max="30000" noThreeD="1" page="10" val="100"/>
</file>

<file path=xl/ctrlProps/ctrlProp5.xml><?xml version="1.0" encoding="utf-8"?>
<formControlPr xmlns="http://schemas.microsoft.com/office/spreadsheetml/2009/9/main" objectType="Spin" dx="15" fmlaLink="$C$27" inc="10" max="30000" noThreeD="1" page="10" val="250"/>
</file>

<file path=xl/ctrlProps/ctrlProp6.xml><?xml version="1.0" encoding="utf-8"?>
<formControlPr xmlns="http://schemas.microsoft.com/office/spreadsheetml/2009/9/main" objectType="Spin" dx="15" fmlaLink="$C$28" inc="10" max="30000" noThreeD="1" page="10" val="120"/>
</file>

<file path=xl/ctrlProps/ctrlProp7.xml><?xml version="1.0" encoding="utf-8"?>
<formControlPr xmlns="http://schemas.microsoft.com/office/spreadsheetml/2009/9/main" objectType="Spin" dx="15" fmlaLink="$C$29" inc="10" max="30000" noThreeD="1" page="10" val="200"/>
</file>

<file path=xl/ctrlProps/ctrlProp8.xml><?xml version="1.0" encoding="utf-8"?>
<formControlPr xmlns="http://schemas.microsoft.com/office/spreadsheetml/2009/9/main" objectType="Spin" dx="15" fmlaLink="$C$30" inc="10" max="30000" noThreeD="1" page="10" val="160"/>
</file>

<file path=xl/ctrlProps/ctrlProp9.xml><?xml version="1.0" encoding="utf-8"?>
<formControlPr xmlns="http://schemas.microsoft.com/office/spreadsheetml/2009/9/main" objectType="Spin" dx="15" fmlaLink="$C$31" max="30000" noThreeD="1" page="10" val="2"/>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592060" y="185420"/>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984250</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37</xdr:row>
      <xdr:rowOff>0</xdr:rowOff>
    </xdr:from>
    <xdr:to>
      <xdr:col>2</xdr:col>
      <xdr:colOff>850900</xdr:colOff>
      <xdr:row>48</xdr:row>
      <xdr:rowOff>69850</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565150</xdr:colOff>
      <xdr:row>9</xdr:row>
      <xdr:rowOff>12700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891540</xdr:colOff>
          <xdr:row>21</xdr:row>
          <xdr:rowOff>15240</xdr:rowOff>
        </xdr:from>
        <xdr:to>
          <xdr:col>4</xdr:col>
          <xdr:colOff>0</xdr:colOff>
          <xdr:row>22</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10</xdr:row>
          <xdr:rowOff>15240</xdr:rowOff>
        </xdr:from>
        <xdr:to>
          <xdr:col>3</xdr:col>
          <xdr:colOff>0</xdr:colOff>
          <xdr:row>11</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11</xdr:row>
          <xdr:rowOff>15240</xdr:rowOff>
        </xdr:from>
        <xdr:to>
          <xdr:col>3</xdr:col>
          <xdr:colOff>0</xdr:colOff>
          <xdr:row>12</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891540</xdr:colOff>
          <xdr:row>22</xdr:row>
          <xdr:rowOff>15240</xdr:rowOff>
        </xdr:from>
        <xdr:to>
          <xdr:col>4</xdr:col>
          <xdr:colOff>0</xdr:colOff>
          <xdr:row>23</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26</xdr:row>
          <xdr:rowOff>15240</xdr:rowOff>
        </xdr:from>
        <xdr:to>
          <xdr:col>3</xdr:col>
          <xdr:colOff>0</xdr:colOff>
          <xdr:row>27</xdr:row>
          <xdr:rowOff>0</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27</xdr:row>
          <xdr:rowOff>15240</xdr:rowOff>
        </xdr:from>
        <xdr:to>
          <xdr:col>3</xdr:col>
          <xdr:colOff>0</xdr:colOff>
          <xdr:row>28</xdr:row>
          <xdr:rowOff>0</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28</xdr:row>
          <xdr:rowOff>15240</xdr:rowOff>
        </xdr:from>
        <xdr:to>
          <xdr:col>3</xdr:col>
          <xdr:colOff>0</xdr:colOff>
          <xdr:row>29</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29</xdr:row>
          <xdr:rowOff>15240</xdr:rowOff>
        </xdr:from>
        <xdr:to>
          <xdr:col>3</xdr:col>
          <xdr:colOff>0</xdr:colOff>
          <xdr:row>30</xdr:row>
          <xdr:rowOff>0</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30</xdr:row>
          <xdr:rowOff>15240</xdr:rowOff>
        </xdr:from>
        <xdr:to>
          <xdr:col>3</xdr:col>
          <xdr:colOff>0</xdr:colOff>
          <xdr:row>31</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31</xdr:row>
          <xdr:rowOff>15240</xdr:rowOff>
        </xdr:from>
        <xdr:to>
          <xdr:col>3</xdr:col>
          <xdr:colOff>0</xdr:colOff>
          <xdr:row>32</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891540</xdr:colOff>
          <xdr:row>12</xdr:row>
          <xdr:rowOff>15240</xdr:rowOff>
        </xdr:from>
        <xdr:to>
          <xdr:col>4</xdr:col>
          <xdr:colOff>0</xdr:colOff>
          <xdr:row>13</xdr:row>
          <xdr:rowOff>0</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15240</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15240</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9</xdr:col>
      <xdr:colOff>0</xdr:colOff>
      <xdr:row>20</xdr:row>
      <xdr:rowOff>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20</xdr:row>
      <xdr:rowOff>0</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984250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139700</xdr:colOff>
      <xdr:row>38</xdr:row>
      <xdr:rowOff>120650</xdr:rowOff>
    </xdr:from>
    <xdr:to>
      <xdr:col>3</xdr:col>
      <xdr:colOff>723900</xdr:colOff>
      <xdr:row>46</xdr:row>
      <xdr:rowOff>0</xdr:rowOff>
    </xdr:to>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04620" y="6353810"/>
          <a:ext cx="1361440" cy="1220470"/>
          <a:chOff x="1362075" y="6410325"/>
          <a:chExt cx="1319468"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62415" y="7296150"/>
            <a:ext cx="35118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3672"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5400000">
            <a:off x="1838363" y="6388995"/>
            <a:ext cx="482283"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3672" y="6744970"/>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12198" y="6744970"/>
            <a:ext cx="0" cy="482283"/>
          </a:xfrm>
          <a:prstGeom prst="line">
            <a:avLst/>
          </a:prstGeom>
          <a:noFill/>
          <a:ln w="9525">
            <a:solidFill>
              <a:srgbClr val="000000"/>
            </a:solidFill>
            <a:round/>
            <a:headEnd/>
            <a:tailEnd/>
          </a:ln>
        </xdr:spPr>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5" y="6744970"/>
            <a:ext cx="0" cy="482283"/>
          </a:xfrm>
          <a:prstGeom prst="line">
            <a:avLst/>
          </a:prstGeom>
          <a:noFill/>
          <a:ln w="9525">
            <a:solidFill>
              <a:srgbClr val="000000"/>
            </a:solidFill>
            <a:round/>
            <a:headEnd type="triangle" w="med" len="med"/>
            <a:tailEnd type="triangle" w="med" len="med"/>
          </a:ln>
        </xdr:spPr>
      </xdr:sp>
    </xdr:grpSp>
    <xdr:clientData/>
  </xdr:twoCellAnchor>
  <xdr:twoCellAnchor>
    <xdr:from>
      <xdr:col>2</xdr:col>
      <xdr:colOff>260350</xdr:colOff>
      <xdr:row>49</xdr:row>
      <xdr:rowOff>19050</xdr:rowOff>
    </xdr:from>
    <xdr:to>
      <xdr:col>3</xdr:col>
      <xdr:colOff>514350</xdr:colOff>
      <xdr:row>54</xdr:row>
      <xdr:rowOff>120650</xdr:rowOff>
    </xdr:to>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9400" y="7981950"/>
          <a:ext cx="1047750" cy="927100"/>
        </a:xfrm>
        <a:prstGeom prst="ellipse">
          <a:avLst/>
        </a:prstGeom>
        <a:solidFill>
          <a:srgbClr val="F2F2F2"/>
        </a:solidFill>
        <a:ln w="9525">
          <a:solidFill>
            <a:srgbClr val="000000"/>
          </a:solidFill>
          <a:round/>
          <a:headEnd/>
          <a:tailEnd/>
        </a:ln>
      </xdr:spPr>
    </xdr:sp>
    <xdr:clientData/>
  </xdr:twoCellAnchor>
  <xdr:twoCellAnchor>
    <xdr:from>
      <xdr:col>2</xdr:col>
      <xdr:colOff>698500</xdr:colOff>
      <xdr:row>51</xdr:row>
      <xdr:rowOff>57150</xdr:rowOff>
    </xdr:from>
    <xdr:to>
      <xdr:col>3</xdr:col>
      <xdr:colOff>88900</xdr:colOff>
      <xdr:row>52</xdr:row>
      <xdr:rowOff>76200</xdr:rowOff>
    </xdr:to>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87550" y="8350250"/>
          <a:ext cx="184150" cy="184150"/>
        </a:xfrm>
        <a:prstGeom prst="ellipse">
          <a:avLst/>
        </a:prstGeom>
        <a:solidFill>
          <a:srgbClr val="FFFFFF"/>
        </a:solidFill>
        <a:ln w="9525">
          <a:solidFill>
            <a:srgbClr val="000000"/>
          </a:solidFill>
          <a:round/>
          <a:headEnd/>
          <a:tailEnd/>
        </a:ln>
      </xdr:spPr>
    </xdr:sp>
    <xdr:clientData/>
  </xdr:twoCellAnchor>
  <xdr:twoCellAnchor>
    <xdr:from>
      <xdr:col>3</xdr:col>
      <xdr:colOff>0</xdr:colOff>
      <xdr:row>49</xdr:row>
      <xdr:rowOff>19050</xdr:rowOff>
    </xdr:from>
    <xdr:to>
      <xdr:col>3</xdr:col>
      <xdr:colOff>0</xdr:colOff>
      <xdr:row>51</xdr:row>
      <xdr:rowOff>146050</xdr:rowOff>
    </xdr:to>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2800" y="7981950"/>
          <a:ext cx="0" cy="457200"/>
        </a:xfrm>
        <a:prstGeom prst="line">
          <a:avLst/>
        </a:prstGeom>
        <a:noFill/>
        <a:ln w="9525">
          <a:solidFill>
            <a:srgbClr val="000000"/>
          </a:solidFill>
          <a:round/>
          <a:headEnd type="triangle" w="med" len="med"/>
          <a:tailEnd type="triangle" w="med" len="med"/>
        </a:ln>
      </xdr:spPr>
    </xdr:sp>
    <xdr:clientData/>
  </xdr:twoCellAnchor>
  <xdr:twoCellAnchor>
    <xdr:from>
      <xdr:col>3</xdr:col>
      <xdr:colOff>0</xdr:colOff>
      <xdr:row>51</xdr:row>
      <xdr:rowOff>146050</xdr:rowOff>
    </xdr:from>
    <xdr:to>
      <xdr:col>3</xdr:col>
      <xdr:colOff>0</xdr:colOff>
      <xdr:row>52</xdr:row>
      <xdr:rowOff>88900</xdr:rowOff>
    </xdr:to>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flipH="1">
          <a:off x="2082800" y="8439150"/>
          <a:ext cx="0" cy="107950"/>
        </a:xfrm>
        <a:prstGeom prst="line">
          <a:avLst/>
        </a:prstGeom>
        <a:noFill/>
        <a:ln w="9525">
          <a:solidFill>
            <a:srgbClr val="000000"/>
          </a:solidFill>
          <a:round/>
          <a:headEnd type="triangle" w="sm" len="sm"/>
          <a:tailEnd type="triangle" w="sm" len="sm"/>
        </a:ln>
      </xdr:spPr>
    </xdr:sp>
    <xdr:clientData/>
  </xdr:twoCellAnchor>
  <mc:AlternateContent xmlns:mc="http://schemas.openxmlformats.org/markup-compatibility/2006">
    <mc:Choice xmlns:a14="http://schemas.microsoft.com/office/drawing/2010/main" Requires="a14">
      <xdr:twoCellAnchor>
        <xdr:from>
          <xdr:col>3</xdr:col>
          <xdr:colOff>769620</xdr:colOff>
          <xdr:row>9</xdr:row>
          <xdr:rowOff>15240</xdr:rowOff>
        </xdr:from>
        <xdr:to>
          <xdr:col>4</xdr:col>
          <xdr:colOff>0</xdr:colOff>
          <xdr:row>10</xdr:row>
          <xdr:rowOff>0</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42</xdr:row>
          <xdr:rowOff>15240</xdr:rowOff>
        </xdr:from>
        <xdr:to>
          <xdr:col>2</xdr:col>
          <xdr:colOff>0</xdr:colOff>
          <xdr:row>43</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44</xdr:row>
          <xdr:rowOff>15240</xdr:rowOff>
        </xdr:from>
        <xdr:to>
          <xdr:col>2</xdr:col>
          <xdr:colOff>0</xdr:colOff>
          <xdr:row>45</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50</xdr:row>
          <xdr:rowOff>15240</xdr:rowOff>
        </xdr:from>
        <xdr:to>
          <xdr:col>2</xdr:col>
          <xdr:colOff>0</xdr:colOff>
          <xdr:row>51</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93</xdr:row>
          <xdr:rowOff>76200</xdr:rowOff>
        </xdr:from>
        <xdr:to>
          <xdr:col>4</xdr:col>
          <xdr:colOff>68580</xdr:colOff>
          <xdr:row>99</xdr:row>
          <xdr:rowOff>91440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52</xdr:row>
          <xdr:rowOff>15240</xdr:rowOff>
        </xdr:from>
        <xdr:to>
          <xdr:col>2</xdr:col>
          <xdr:colOff>0</xdr:colOff>
          <xdr:row>53</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15240</xdr:colOff>
          <xdr:row>1010</xdr:row>
          <xdr:rowOff>99060</xdr:rowOff>
        </xdr:from>
        <xdr:to>
          <xdr:col>20</xdr:col>
          <xdr:colOff>289560</xdr:colOff>
          <xdr:row>1013</xdr:row>
          <xdr:rowOff>22860</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22860</xdr:colOff>
          <xdr:row>1024</xdr:row>
          <xdr:rowOff>160020</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251460</xdr:colOff>
          <xdr:row>1006</xdr:row>
          <xdr:rowOff>22860</xdr:rowOff>
        </xdr:from>
        <xdr:to>
          <xdr:col>24</xdr:col>
          <xdr:colOff>152400</xdr:colOff>
          <xdr:row>1007</xdr:row>
          <xdr:rowOff>99060</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1017</xdr:row>
          <xdr:rowOff>167640</xdr:rowOff>
        </xdr:from>
        <xdr:to>
          <xdr:col>10</xdr:col>
          <xdr:colOff>586740</xdr:colOff>
          <xdr:row>1019</xdr:row>
          <xdr:rowOff>137160</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1014</xdr:row>
          <xdr:rowOff>175260</xdr:rowOff>
        </xdr:from>
        <xdr:to>
          <xdr:col>11</xdr:col>
          <xdr:colOff>266700</xdr:colOff>
          <xdr:row>1016</xdr:row>
          <xdr:rowOff>68580</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1016</xdr:row>
          <xdr:rowOff>76200</xdr:rowOff>
        </xdr:from>
        <xdr:to>
          <xdr:col>11</xdr:col>
          <xdr:colOff>236220</xdr:colOff>
          <xdr:row>1017</xdr:row>
          <xdr:rowOff>160020</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68580</xdr:rowOff>
        </xdr:from>
        <xdr:to>
          <xdr:col>17</xdr:col>
          <xdr:colOff>274320</xdr:colOff>
          <xdr:row>1024</xdr:row>
          <xdr:rowOff>167640</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236220</xdr:colOff>
          <xdr:row>1010</xdr:row>
          <xdr:rowOff>91440</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99060</xdr:rowOff>
        </xdr:from>
        <xdr:to>
          <xdr:col>12</xdr:col>
          <xdr:colOff>243840</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1006</xdr:row>
          <xdr:rowOff>99060</xdr:rowOff>
        </xdr:from>
        <xdr:to>
          <xdr:col>3</xdr:col>
          <xdr:colOff>541020</xdr:colOff>
          <xdr:row>1007</xdr:row>
          <xdr:rowOff>175260</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175260</xdr:rowOff>
        </xdr:from>
        <xdr:to>
          <xdr:col>16</xdr:col>
          <xdr:colOff>0</xdr:colOff>
          <xdr:row>1026</xdr:row>
          <xdr:rowOff>144780</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xdr:colOff>
          <xdr:row>1013</xdr:row>
          <xdr:rowOff>30480</xdr:rowOff>
        </xdr:from>
        <xdr:to>
          <xdr:col>21</xdr:col>
          <xdr:colOff>22860</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1005</xdr:row>
          <xdr:rowOff>15240</xdr:rowOff>
        </xdr:from>
        <xdr:to>
          <xdr:col>10</xdr:col>
          <xdr:colOff>403860</xdr:colOff>
          <xdr:row>1006</xdr:row>
          <xdr:rowOff>91440</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15240</xdr:rowOff>
        </xdr:from>
        <xdr:to>
          <xdr:col>8</xdr:col>
          <xdr:colOff>190500</xdr:colOff>
          <xdr:row>1014</xdr:row>
          <xdr:rowOff>167640</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15240</xdr:colOff>
          <xdr:row>1018</xdr:row>
          <xdr:rowOff>53340</xdr:rowOff>
        </xdr:from>
        <xdr:to>
          <xdr:col>24</xdr:col>
          <xdr:colOff>1082040</xdr:colOff>
          <xdr:row>1019</xdr:row>
          <xdr:rowOff>137160</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144780</xdr:rowOff>
        </xdr:from>
        <xdr:to>
          <xdr:col>20</xdr:col>
          <xdr:colOff>579120</xdr:colOff>
          <xdr:row>1022</xdr:row>
          <xdr:rowOff>53340</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53340</xdr:rowOff>
        </xdr:from>
        <xdr:to>
          <xdr:col>19</xdr:col>
          <xdr:colOff>182880</xdr:colOff>
          <xdr:row>1019</xdr:row>
          <xdr:rowOff>137160</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15240</xdr:colOff>
          <xdr:row>1007</xdr:row>
          <xdr:rowOff>121920</xdr:rowOff>
        </xdr:from>
        <xdr:to>
          <xdr:col>37</xdr:col>
          <xdr:colOff>281940</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15240</xdr:colOff>
          <xdr:row>1010</xdr:row>
          <xdr:rowOff>91440</xdr:rowOff>
        </xdr:from>
        <xdr:to>
          <xdr:col>35</xdr:col>
          <xdr:colOff>723900</xdr:colOff>
          <xdr:row>1013</xdr:row>
          <xdr:rowOff>45720</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22860</xdr:rowOff>
        </xdr:from>
        <xdr:to>
          <xdr:col>11</xdr:col>
          <xdr:colOff>556260</xdr:colOff>
          <xdr:row>1038</xdr:row>
          <xdr:rowOff>22860</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22860</xdr:rowOff>
        </xdr:from>
        <xdr:to>
          <xdr:col>12</xdr:col>
          <xdr:colOff>30480</xdr:colOff>
          <xdr:row>1043</xdr:row>
          <xdr:rowOff>22860</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xdr:colOff>
          <xdr:row>1014</xdr:row>
          <xdr:rowOff>121920</xdr:rowOff>
        </xdr:from>
        <xdr:to>
          <xdr:col>20</xdr:col>
          <xdr:colOff>335280</xdr:colOff>
          <xdr:row>1016</xdr:row>
          <xdr:rowOff>15240</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251460</xdr:colOff>
          <xdr:row>1007</xdr:row>
          <xdr:rowOff>114300</xdr:rowOff>
        </xdr:from>
        <xdr:to>
          <xdr:col>32</xdr:col>
          <xdr:colOff>167640</xdr:colOff>
          <xdr:row>1010</xdr:row>
          <xdr:rowOff>91440</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30480</xdr:rowOff>
        </xdr:from>
        <xdr:to>
          <xdr:col>12</xdr:col>
          <xdr:colOff>335280</xdr:colOff>
          <xdr:row>1058</xdr:row>
          <xdr:rowOff>53340</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30480</xdr:rowOff>
        </xdr:from>
        <xdr:to>
          <xdr:col>15</xdr:col>
          <xdr:colOff>53340</xdr:colOff>
          <xdr:row>1063</xdr:row>
          <xdr:rowOff>53340</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30480</xdr:rowOff>
        </xdr:from>
        <xdr:to>
          <xdr:col>16</xdr:col>
          <xdr:colOff>670560</xdr:colOff>
          <xdr:row>1068</xdr:row>
          <xdr:rowOff>53340</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30480</xdr:rowOff>
        </xdr:from>
        <xdr:to>
          <xdr:col>16</xdr:col>
          <xdr:colOff>106680</xdr:colOff>
          <xdr:row>1048</xdr:row>
          <xdr:rowOff>30480</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30480</xdr:rowOff>
        </xdr:from>
        <xdr:to>
          <xdr:col>16</xdr:col>
          <xdr:colOff>388620</xdr:colOff>
          <xdr:row>1053</xdr:row>
          <xdr:rowOff>53340</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30480</xdr:rowOff>
        </xdr:from>
        <xdr:to>
          <xdr:col>12</xdr:col>
          <xdr:colOff>411480</xdr:colOff>
          <xdr:row>1073</xdr:row>
          <xdr:rowOff>53340</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30480</xdr:rowOff>
        </xdr:from>
        <xdr:to>
          <xdr:col>32</xdr:col>
          <xdr:colOff>419100</xdr:colOff>
          <xdr:row>1056</xdr:row>
          <xdr:rowOff>30480</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22860</xdr:colOff>
          <xdr:row>1022</xdr:row>
          <xdr:rowOff>53340</xdr:rowOff>
        </xdr:from>
        <xdr:to>
          <xdr:col>32</xdr:col>
          <xdr:colOff>266700</xdr:colOff>
          <xdr:row>1024</xdr:row>
          <xdr:rowOff>137160</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22860</xdr:rowOff>
        </xdr:from>
        <xdr:to>
          <xdr:col>36</xdr:col>
          <xdr:colOff>167640</xdr:colOff>
          <xdr:row>1020</xdr:row>
          <xdr:rowOff>22860</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701040</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45720</xdr:rowOff>
        </xdr:from>
        <xdr:to>
          <xdr:col>35</xdr:col>
          <xdr:colOff>137160</xdr:colOff>
          <xdr:row>1023</xdr:row>
          <xdr:rowOff>45720</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68580</xdr:rowOff>
        </xdr:from>
        <xdr:to>
          <xdr:col>36</xdr:col>
          <xdr:colOff>53340</xdr:colOff>
          <xdr:row>1026</xdr:row>
          <xdr:rowOff>68580</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30480</xdr:rowOff>
        </xdr:from>
        <xdr:to>
          <xdr:col>34</xdr:col>
          <xdr:colOff>350520</xdr:colOff>
          <xdr:row>1051</xdr:row>
          <xdr:rowOff>91440</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17</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17</xdr:row>
      <xdr:rowOff>25400</xdr:rowOff>
    </xdr:from>
    <xdr:to>
      <xdr:col>12</xdr:col>
      <xdr:colOff>450850</xdr:colOff>
      <xdr:row>34</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17</xdr:row>
      <xdr:rowOff>25400</xdr:rowOff>
    </xdr:from>
    <xdr:to>
      <xdr:col>6</xdr:col>
      <xdr:colOff>450850</xdr:colOff>
      <xdr:row>34</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769620</xdr:colOff>
          <xdr:row>9</xdr:row>
          <xdr:rowOff>15240</xdr:rowOff>
        </xdr:from>
        <xdr:to>
          <xdr:col>4</xdr:col>
          <xdr:colOff>0</xdr:colOff>
          <xdr:row>10</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388620</xdr:colOff>
          <xdr:row>68</xdr:row>
          <xdr:rowOff>22860</xdr:rowOff>
        </xdr:from>
        <xdr:to>
          <xdr:col>12</xdr:col>
          <xdr:colOff>899160</xdr:colOff>
          <xdr:row>85</xdr:row>
          <xdr:rowOff>15240</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769620</xdr:colOff>
          <xdr:row>10</xdr:row>
          <xdr:rowOff>15240</xdr:rowOff>
        </xdr:from>
        <xdr:to>
          <xdr:col>4</xdr:col>
          <xdr:colOff>0</xdr:colOff>
          <xdr:row>11</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12700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53</xdr:row>
      <xdr:rowOff>44450</xdr:rowOff>
    </xdr:from>
    <xdr:to>
      <xdr:col>10</xdr:col>
      <xdr:colOff>609600</xdr:colOff>
      <xdr:row>81</xdr:row>
      <xdr:rowOff>25400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984250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283710" y="13614400"/>
          <a:ext cx="2223770" cy="385953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3427710" y="187960"/>
          <a:ext cx="2155190" cy="5262880"/>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opLeftCell="A13" zoomScaleNormal="100" zoomScaleSheetLayoutView="100" workbookViewId="0">
      <selection activeCell="C12" sqref="C12"/>
    </sheetView>
  </sheetViews>
  <sheetFormatPr baseColWidth="10" defaultColWidth="11.33203125" defaultRowHeight="13.2" x14ac:dyDescent="0.25"/>
  <cols>
    <col min="1" max="1" width="2.21875" style="35" customWidth="1"/>
    <col min="2" max="2" width="16.21875" style="35" customWidth="1"/>
    <col min="3" max="3" width="12.77734375" style="52" customWidth="1"/>
    <col min="4" max="4" width="12.77734375" style="35" customWidth="1"/>
    <col min="5" max="5" width="4.21875" style="119" customWidth="1"/>
    <col min="6" max="6" width="10.21875" style="56" bestFit="1" customWidth="1"/>
    <col min="7" max="7" width="10" style="56" bestFit="1" customWidth="1"/>
    <col min="8" max="9" width="8.6640625" style="56" customWidth="1"/>
    <col min="10" max="10" width="5.33203125" style="35" customWidth="1"/>
    <col min="11" max="11" width="2.21875" style="35" customWidth="1"/>
    <col min="12" max="12" width="17" style="35" customWidth="1"/>
    <col min="13" max="13" width="8.6640625" style="35" customWidth="1"/>
    <col min="14" max="15" width="4.21875" style="35" customWidth="1"/>
    <col min="16" max="16" width="8.6640625" style="35" customWidth="1"/>
    <col min="17" max="18" width="2.21875" style="35" customWidth="1"/>
    <col min="19" max="16384" width="11.33203125" style="35"/>
  </cols>
  <sheetData>
    <row r="1" spans="1:20" ht="12.75" customHeight="1" x14ac:dyDescent="0.25">
      <c r="A1" s="29"/>
      <c r="B1" s="30"/>
      <c r="C1" s="31"/>
      <c r="D1" s="30"/>
      <c r="E1" s="113"/>
      <c r="F1" s="32"/>
      <c r="G1" s="32"/>
      <c r="H1" s="32"/>
      <c r="I1" s="32"/>
      <c r="J1" s="30"/>
      <c r="K1" s="30"/>
      <c r="L1" s="30"/>
      <c r="M1" s="30"/>
      <c r="N1" s="30"/>
      <c r="O1" s="30"/>
      <c r="P1" s="30"/>
      <c r="Q1" s="33"/>
      <c r="R1" s="34"/>
    </row>
    <row r="2" spans="1:20" ht="12.75" customHeight="1" x14ac:dyDescent="0.25">
      <c r="A2" s="36"/>
      <c r="B2" s="34"/>
      <c r="C2" s="663" t="s">
        <v>54</v>
      </c>
      <c r="D2" s="663"/>
      <c r="E2" s="114"/>
      <c r="F2" s="37"/>
      <c r="G2" s="37"/>
      <c r="H2" s="37"/>
      <c r="I2" s="37"/>
      <c r="J2" s="34"/>
      <c r="K2" s="34"/>
      <c r="L2" s="180" t="str">
        <f>"Language/Langue"</f>
        <v>Language/Langue</v>
      </c>
      <c r="M2" s="688" t="s">
        <v>1</v>
      </c>
      <c r="N2" s="688"/>
      <c r="O2" s="688"/>
      <c r="P2" s="689"/>
      <c r="Q2" s="38"/>
      <c r="R2" s="34"/>
    </row>
    <row r="3" spans="1:20" ht="12.75" customHeight="1" x14ac:dyDescent="0.25">
      <c r="A3" s="36"/>
      <c r="B3" s="34"/>
      <c r="C3" s="663"/>
      <c r="D3" s="663"/>
      <c r="E3" s="114"/>
      <c r="F3" s="37"/>
      <c r="G3" s="37"/>
      <c r="H3" s="37"/>
      <c r="I3" s="37"/>
      <c r="J3" s="34"/>
      <c r="K3" s="34"/>
      <c r="L3" s="696"/>
      <c r="M3" s="696"/>
      <c r="N3" s="214"/>
      <c r="O3" s="34"/>
      <c r="P3" s="34"/>
      <c r="Q3" s="38"/>
      <c r="R3" s="34"/>
    </row>
    <row r="4" spans="1:20" ht="12.75" customHeight="1" x14ac:dyDescent="0.25">
      <c r="A4" s="36"/>
      <c r="B4" s="34"/>
      <c r="C4" s="664" t="str">
        <f>IF(Lang="Français","Stabilité de fusée à ailerons",IF(Lang="English","Stability for rocket with fins",""))</f>
        <v>Stabilité de fusée à ailerons</v>
      </c>
      <c r="D4" s="664"/>
      <c r="E4" s="114"/>
      <c r="F4" s="37"/>
      <c r="G4" s="37"/>
      <c r="H4" s="37"/>
      <c r="I4" s="37"/>
      <c r="J4" s="34"/>
      <c r="K4" s="34"/>
      <c r="L4" s="45"/>
      <c r="M4" s="688" t="s">
        <v>552</v>
      </c>
      <c r="N4" s="688"/>
      <c r="O4" s="688"/>
      <c r="P4" s="689"/>
      <c r="Q4" s="38"/>
      <c r="R4" s="34"/>
    </row>
    <row r="5" spans="1:20" ht="12.75" customHeight="1" x14ac:dyDescent="0.3">
      <c r="A5" s="36"/>
      <c r="B5" s="39"/>
      <c r="C5" s="645"/>
      <c r="D5" s="645"/>
      <c r="E5" s="114"/>
      <c r="F5" s="37"/>
      <c r="G5" s="37"/>
      <c r="H5" s="37"/>
      <c r="I5" s="37"/>
      <c r="J5" s="34"/>
      <c r="K5" s="34"/>
      <c r="L5" s="45"/>
      <c r="M5" s="670" t="s">
        <v>157</v>
      </c>
      <c r="N5" s="671"/>
      <c r="O5" s="699" t="s">
        <v>158</v>
      </c>
      <c r="P5" s="699"/>
      <c r="Q5" s="40"/>
      <c r="R5" s="34"/>
    </row>
    <row r="6" spans="1:20" ht="12.75" customHeight="1" thickBot="1" x14ac:dyDescent="0.3">
      <c r="A6" s="36"/>
      <c r="B6" s="111"/>
      <c r="C6" s="658" t="str">
        <f>IF(Lang="Français","Remplir les cases jaunes",IF(Lang="English","Fill-in yellow cells only",""))</f>
        <v>Remplir les cases jaunes</v>
      </c>
      <c r="D6" s="658"/>
      <c r="E6" s="114"/>
      <c r="F6" s="37"/>
      <c r="G6" s="37"/>
      <c r="H6" s="37"/>
      <c r="I6" s="37"/>
      <c r="J6" s="34"/>
      <c r="K6" s="34"/>
      <c r="L6" s="172" t="str">
        <f>IF(Lang="Français","Longueur      'L'",IF(Lang="English","Length      'L'",""))</f>
        <v>Longueur      'L'</v>
      </c>
      <c r="M6" s="659">
        <v>50</v>
      </c>
      <c r="N6" s="660"/>
      <c r="O6" s="680">
        <v>50</v>
      </c>
      <c r="P6" s="680"/>
      <c r="Q6" s="40"/>
      <c r="R6" s="34"/>
    </row>
    <row r="7" spans="1:20" ht="12.75" customHeight="1" thickTop="1" thickBot="1" x14ac:dyDescent="0.3">
      <c r="A7" s="36"/>
      <c r="B7" s="42"/>
      <c r="C7" s="666" t="str">
        <f>IF(Lang="Français","Fusée",IF(Lang="English","Rocket",""))</f>
        <v>Fusée</v>
      </c>
      <c r="D7" s="667"/>
      <c r="E7" s="114"/>
      <c r="F7" s="37"/>
      <c r="G7" s="37"/>
      <c r="H7" s="37"/>
      <c r="I7" s="37"/>
      <c r="J7" s="34"/>
      <c r="K7" s="34"/>
      <c r="L7" s="172" t="str">
        <f>IF(Lang="Français","Diamètre     'D1'",IF(Lang="English","Diameter 'D1'",""))</f>
        <v>Diamètre     'D1'</v>
      </c>
      <c r="M7" s="659">
        <f>D_og</f>
        <v>100</v>
      </c>
      <c r="N7" s="660"/>
      <c r="O7" s="680">
        <f>D2j</f>
        <v>80</v>
      </c>
      <c r="P7" s="680"/>
      <c r="Q7" s="40"/>
      <c r="R7" s="34"/>
    </row>
    <row r="8" spans="1:20" ht="12.75" customHeight="1" thickTop="1" x14ac:dyDescent="0.25">
      <c r="A8" s="36"/>
      <c r="B8" s="171" t="str">
        <f>IF(Lang="Français","Nom",IF(Lang="English","Name",""))</f>
        <v>Nom</v>
      </c>
      <c r="C8" s="661" t="s">
        <v>557</v>
      </c>
      <c r="D8" s="661"/>
      <c r="E8" s="115"/>
      <c r="F8" s="37"/>
      <c r="G8" s="37"/>
      <c r="H8" s="37"/>
      <c r="I8" s="37"/>
      <c r="J8" s="34"/>
      <c r="K8" s="44"/>
      <c r="L8" s="172" t="str">
        <f>IF(Lang="Français","Diamètre     'D2'",IF(Lang="English","Diameter 'D2'",""))</f>
        <v>Diamètre     'D2'</v>
      </c>
      <c r="M8" s="659">
        <v>80</v>
      </c>
      <c r="N8" s="660"/>
      <c r="O8" s="680">
        <f>D_og</f>
        <v>100</v>
      </c>
      <c r="P8" s="680"/>
      <c r="Q8" s="40"/>
      <c r="R8" s="34"/>
    </row>
    <row r="9" spans="1:20" ht="12.75" customHeight="1" x14ac:dyDescent="0.25">
      <c r="A9" s="36"/>
      <c r="B9" s="171" t="s">
        <v>4</v>
      </c>
      <c r="C9" s="662" t="s">
        <v>558</v>
      </c>
      <c r="D9" s="662"/>
      <c r="E9" s="115"/>
      <c r="F9" s="37"/>
      <c r="G9" s="37"/>
      <c r="H9" s="37"/>
      <c r="I9" s="37"/>
      <c r="J9" s="34"/>
      <c r="K9" s="44"/>
      <c r="L9" s="172" t="str">
        <f>IF(Lang="Français","Implantation 'x'",IF(Lang="English","Basement 'x'",""))</f>
        <v>Implantation 'x'</v>
      </c>
      <c r="M9" s="659">
        <v>300</v>
      </c>
      <c r="N9" s="660"/>
      <c r="O9" s="680">
        <v>500</v>
      </c>
      <c r="P9" s="680"/>
      <c r="Q9" s="40"/>
      <c r="R9" s="34"/>
    </row>
    <row r="10" spans="1:20" ht="12.75" customHeight="1" x14ac:dyDescent="0.25">
      <c r="A10" s="36"/>
      <c r="B10" s="172" t="s">
        <v>55</v>
      </c>
      <c r="C10" s="668" t="s">
        <v>559</v>
      </c>
      <c r="D10" s="669"/>
      <c r="E10" s="115"/>
      <c r="F10" s="37"/>
      <c r="G10" s="37"/>
      <c r="H10" s="37"/>
      <c r="I10" s="37"/>
      <c r="J10" s="34"/>
      <c r="K10" s="44"/>
      <c r="L10" s="34"/>
      <c r="M10" s="34"/>
      <c r="N10" s="34"/>
      <c r="O10" s="34"/>
      <c r="P10" s="34"/>
      <c r="Q10" s="40"/>
      <c r="R10" s="34"/>
    </row>
    <row r="11" spans="1:20" ht="12.75" customHeight="1" x14ac:dyDescent="0.25">
      <c r="A11" s="36"/>
      <c r="B11" s="172" t="str">
        <f>IF(Lang="Français","Masse",IF(Lang="English","Weight",""))</f>
        <v>Masse</v>
      </c>
      <c r="C11" s="260">
        <v>9000</v>
      </c>
      <c r="D11" s="47" t="s">
        <v>425</v>
      </c>
      <c r="E11" s="116"/>
      <c r="F11" s="37"/>
      <c r="G11" s="37"/>
      <c r="H11" s="37"/>
      <c r="I11" s="37"/>
      <c r="J11" s="34"/>
      <c r="K11" s="45"/>
      <c r="L11" s="136"/>
      <c r="M11" s="262" t="str">
        <f>IF(Lang="Français","Propu plein",IF(Lang="English","Loaded Motor",""))</f>
        <v>Propu plein</v>
      </c>
      <c r="N11" s="697" t="str">
        <f>IF(Lang="Français","Propu vide",IF(Lang="English","Empty Motor",""))</f>
        <v>Propu vide</v>
      </c>
      <c r="O11" s="698"/>
      <c r="P11" s="262" t="str">
        <f>IF(Lang="Français","Sans propu",IF(Lang="English","Without M",""))</f>
        <v>Sans propu</v>
      </c>
      <c r="Q11" s="40"/>
      <c r="R11" s="34"/>
      <c r="S11" s="446"/>
      <c r="T11" s="447" t="str">
        <f>IF(Lang="Français","Propulseur",IF(Lang="English","Motor",""))</f>
        <v>Propulseur</v>
      </c>
    </row>
    <row r="12" spans="1:20" ht="12.75" customHeight="1" x14ac:dyDescent="0.25">
      <c r="A12" s="36"/>
      <c r="B12" s="172" t="str">
        <f>IF(Lang="Français","Centre de Masse",IF(Lang="English","Center of Mass",""))</f>
        <v>Centre de Masse</v>
      </c>
      <c r="C12" s="48">
        <v>1140</v>
      </c>
      <c r="D12" s="47" t="s">
        <v>425</v>
      </c>
      <c r="E12" s="114"/>
      <c r="F12" s="37"/>
      <c r="G12" s="37"/>
      <c r="H12" s="37"/>
      <c r="I12" s="37"/>
      <c r="J12" s="34"/>
      <c r="K12" s="34"/>
      <c r="L12" s="137" t="str">
        <f>IF(Lang="Français","Masse propu",IF(Lang="English","Motor Mass",""))</f>
        <v>Masse propu</v>
      </c>
      <c r="M12" s="138">
        <f ca="1">MpropuPlein</f>
        <v>3.5110000000000001</v>
      </c>
      <c r="N12" s="692">
        <f ca="1">MpropuVide</f>
        <v>1.6379999999999999</v>
      </c>
      <c r="O12" s="693"/>
      <c r="P12" s="139" t="s">
        <v>14</v>
      </c>
      <c r="Q12" s="40"/>
      <c r="R12" s="34"/>
      <c r="S12" s="447" t="str">
        <f>IF(Lang="Français","Haut",IF(Lang="English","Top",""))</f>
        <v>Haut</v>
      </c>
      <c r="T12" s="448">
        <f ca="1">XpropuRef-Long_propu</f>
        <v>1314</v>
      </c>
    </row>
    <row r="13" spans="1:20" ht="12.75" customHeight="1" x14ac:dyDescent="0.25">
      <c r="A13" s="36"/>
      <c r="B13" s="172" t="str">
        <f>IF(Lang="Français","Longueur totale",IF(Lang="English","Total length",""))</f>
        <v>Longueur totale</v>
      </c>
      <c r="C13" s="659">
        <v>1800</v>
      </c>
      <c r="D13" s="660"/>
      <c r="E13" s="114"/>
      <c r="F13" s="37"/>
      <c r="G13" s="37"/>
      <c r="H13" s="37"/>
      <c r="I13" s="37"/>
      <c r="J13" s="34"/>
      <c r="K13" s="34"/>
      <c r="L13" s="137" t="str">
        <f>IF(Lang="Français","CdM propu",IF(Lang="English","Motor CoM",""))</f>
        <v>CdM propu</v>
      </c>
      <c r="M13" s="140">
        <f ca="1">XpropuPlein</f>
        <v>243</v>
      </c>
      <c r="N13" s="690">
        <f ca="1">XpropuVide</f>
        <v>243</v>
      </c>
      <c r="O13" s="691"/>
      <c r="P13" s="139" t="s">
        <v>14</v>
      </c>
      <c r="Q13" s="40"/>
      <c r="R13" s="34"/>
      <c r="S13" s="447" t="str">
        <f>IF(Lang="Français","Longueur",IF(Lang="English","Length",""))</f>
        <v>Longueur</v>
      </c>
      <c r="T13" s="448">
        <f ca="1">Long_propu</f>
        <v>486</v>
      </c>
    </row>
    <row r="14" spans="1:20" ht="12.75" customHeight="1" x14ac:dyDescent="0.25">
      <c r="A14" s="36"/>
      <c r="B14" s="172" t="str">
        <f>IF(Lang="Français","Diamètre Réf.",IF(Lang="English","Ref. Diameter",""))</f>
        <v>Diamètre Réf.</v>
      </c>
      <c r="C14" s="659">
        <f>D_og</f>
        <v>100</v>
      </c>
      <c r="D14" s="660"/>
      <c r="E14" s="114"/>
      <c r="F14" s="37"/>
      <c r="G14" s="37"/>
      <c r="H14" s="37"/>
      <c r="I14" s="37"/>
      <c r="J14" s="34"/>
      <c r="K14" s="34"/>
      <c r="L14" s="137" t="str">
        <f>IF(Lang="Français","Masse fusée",IF(Lang="English","Rocket Mass",""))</f>
        <v>Masse fusée</v>
      </c>
      <c r="M14" s="141">
        <f ca="1">MasseSans+MpropuPlein</f>
        <v>12.510999999999999</v>
      </c>
      <c r="N14" s="672">
        <f ca="1">MasseSans+MpropuVide</f>
        <v>10.638</v>
      </c>
      <c r="O14" s="673"/>
      <c r="P14" s="138">
        <f>IF(OR(D11="sans propu",D11="without motor"),C11/1000,IF(OR(D11="avec propu vide",D11="with empty motor"),C11/1000-MpropuVide,IF(OR(D11="avec propu plein",D11="with loaded motor"),C11/1000-MpropuPlein,"Erreur")))</f>
        <v>9</v>
      </c>
      <c r="Q14" s="40"/>
      <c r="R14" s="34"/>
      <c r="S14" s="447" t="str">
        <f>IF(Lang="Français","Bas",IF(Lang="English","Base",""))</f>
        <v>Bas</v>
      </c>
      <c r="T14" s="448">
        <f>XpropuRef</f>
        <v>1800</v>
      </c>
    </row>
    <row r="15" spans="1:20" ht="12.75" customHeight="1" thickBot="1" x14ac:dyDescent="0.3">
      <c r="A15" s="36"/>
      <c r="B15" s="34"/>
      <c r="C15" s="42"/>
      <c r="D15" s="42"/>
      <c r="E15" s="114"/>
      <c r="F15" s="37"/>
      <c r="G15" s="37"/>
      <c r="H15" s="37"/>
      <c r="I15" s="37"/>
      <c r="J15" s="34"/>
      <c r="K15" s="34"/>
      <c r="L15" s="208" t="str">
        <f>IF(Lang="Français","CdM fusée",IF(Lang="English","Rocket CoM",""))</f>
        <v>CdM fusée</v>
      </c>
      <c r="M15" s="209">
        <f ca="1">(XcgSans*MasseSans+(XpropuRef-Long_propu+XpropuPlein)*MpropuPlein)/MassePlein</f>
        <v>1257.0239788985693</v>
      </c>
      <c r="N15" s="674">
        <f ca="1">(XcgSans*MasseSans+(XpropuRef-Long_propu+XpropuVide)*MpropuVide)/MasseVide</f>
        <v>1204.2081218274111</v>
      </c>
      <c r="O15" s="675"/>
      <c r="P15" s="142">
        <f>IF(OR(D12="sans propu",D12="without motor"),C12,IF(OR(D12="avec propu vide",D12="with empty motor"),(C12*MasseVide-(XpropuRef-Long_propu+XpropuVide)*MpropuVide)/MasseSans,IF(OR(D12="avec propu plein",D12="with loaded motor"),(C12*MassePlein-(XpropuRef-Long_propu+XpropuPlein)*MpropuPlein)/MasseSans,"Erreur")))</f>
        <v>1140</v>
      </c>
      <c r="Q15" s="40"/>
      <c r="R15" s="34"/>
    </row>
    <row r="16" spans="1:20" ht="12.75" customHeight="1" thickTop="1" thickBot="1" x14ac:dyDescent="0.3">
      <c r="A16" s="36"/>
      <c r="B16" s="34"/>
      <c r="C16" s="647" t="str">
        <f>IF(Lang="Français","Propulseur",IF(Lang="English","Motor",""))</f>
        <v>Propulseur</v>
      </c>
      <c r="D16" s="648"/>
      <c r="E16" s="114"/>
      <c r="F16" s="37"/>
      <c r="G16" s="37"/>
      <c r="H16" s="37"/>
      <c r="I16" s="37"/>
      <c r="J16" s="34"/>
      <c r="K16" s="34"/>
      <c r="L16" s="123"/>
      <c r="M16" s="123"/>
      <c r="N16" s="123"/>
      <c r="O16" s="123"/>
      <c r="P16" s="123"/>
      <c r="Q16" s="40"/>
      <c r="R16" s="34"/>
      <c r="S16" s="446"/>
      <c r="T16" s="447" t="str">
        <f>IF(RIGHT(Type_masquage,1)=",",IF(Lang="Français","Ailerons","Fins"),IF(Lang="Français","Ailerons bas","Lower Fins"))</f>
        <v>Ailerons bas</v>
      </c>
    </row>
    <row r="17" spans="1:20" ht="12.75" customHeight="1" thickTop="1" x14ac:dyDescent="0.25">
      <c r="A17" s="36"/>
      <c r="B17" s="172" t="s">
        <v>55</v>
      </c>
      <c r="C17" s="649" t="s">
        <v>555</v>
      </c>
      <c r="D17" s="650"/>
      <c r="E17" s="114"/>
      <c r="F17" s="37"/>
      <c r="G17" s="37"/>
      <c r="H17" s="37"/>
      <c r="I17" s="37"/>
      <c r="J17" s="34"/>
      <c r="K17" s="34"/>
      <c r="L17" s="143"/>
      <c r="M17" s="676" t="s">
        <v>56</v>
      </c>
      <c r="N17" s="677"/>
      <c r="O17" s="700" t="s">
        <v>66</v>
      </c>
      <c r="P17" s="700"/>
      <c r="Q17" s="40"/>
      <c r="R17" s="34"/>
      <c r="S17" s="447" t="str">
        <f>IF(Lang="Français","Haut","Top")</f>
        <v>Haut</v>
      </c>
      <c r="T17" s="448">
        <f>X_ail-m_ail</f>
        <v>1550</v>
      </c>
    </row>
    <row r="18" spans="1:20" ht="12.75" customHeight="1" x14ac:dyDescent="0.25">
      <c r="A18" s="36"/>
      <c r="B18" s="172" t="str">
        <f>IF(Lang="Français","Position du bas",IF(Lang="English","Basement",""))</f>
        <v>Position du bas</v>
      </c>
      <c r="C18" s="680">
        <f>Long_tot</f>
        <v>1800</v>
      </c>
      <c r="D18" s="680"/>
      <c r="F18" s="37"/>
      <c r="G18" s="37"/>
      <c r="H18" s="37"/>
      <c r="I18" s="37"/>
      <c r="J18" s="34"/>
      <c r="K18" s="50"/>
      <c r="L18" s="137" t="str">
        <f>IF(Lang="Français","Coiffe",IF(Lang="English","Nose Cone",""))</f>
        <v>Coiffe</v>
      </c>
      <c r="M18" s="652">
        <f>IF(LEFT(Forme_ogive,5)="Parab",1/2*Long_ogive,IF(LEFT(Forme_ogive,4)="Ogiv",7/15*Long_ogive,IF(LEFT(Forme_ogive,3)="Con",2/3*Long_ogive)))</f>
        <v>116.66666666666667</v>
      </c>
      <c r="N18" s="653"/>
      <c r="O18" s="651">
        <f>2*POWER(D_og/D_ref, 2)</f>
        <v>2</v>
      </c>
      <c r="P18" s="651"/>
      <c r="Q18" s="40"/>
      <c r="R18" s="34"/>
      <c r="S18" s="447" t="str">
        <f>IF(Lang="Français","Emplanture","Root edge")</f>
        <v>Emplanture</v>
      </c>
      <c r="T18" s="448">
        <f>m_ail</f>
        <v>250</v>
      </c>
    </row>
    <row r="19" spans="1:20" ht="12.75" customHeight="1" thickBot="1" x14ac:dyDescent="0.3">
      <c r="A19" s="36"/>
      <c r="B19" s="493" t="str">
        <f>IF(Propu="Cariacou","Cariacou :"," ")</f>
        <v xml:space="preserve"> </v>
      </c>
      <c r="C19" s="681" t="str">
        <f>IF(Propu="Pandora (Pro24-6G)",IF(Lang="Français","C'Space Seulement",IF(Lang="English","C'Space only","")),"")</f>
        <v/>
      </c>
      <c r="D19" s="681"/>
      <c r="E19" s="114"/>
      <c r="F19" s="37"/>
      <c r="G19" s="37"/>
      <c r="H19" s="37"/>
      <c r="I19" s="37"/>
      <c r="J19" s="34"/>
      <c r="K19" s="34"/>
      <c r="L19" s="137" t="str">
        <f>IF(Lang="Français","Ailerons",IF(Lang="English","Fins",""))</f>
        <v>Ailerons</v>
      </c>
      <c r="M19" s="652">
        <f>(XCpa*Cnail-0.5*XCpi*Cni)/Cnai</f>
        <v>1686.4414414414412</v>
      </c>
      <c r="N19" s="653"/>
      <c r="O19" s="654">
        <f>Cnail-Cni/2</f>
        <v>20.203078547045632</v>
      </c>
      <c r="P19" s="655"/>
      <c r="Q19" s="40"/>
      <c r="R19" s="34"/>
      <c r="S19" s="447" t="str">
        <f>IF(Lang="Français","Bas","Base")</f>
        <v>Bas</v>
      </c>
      <c r="T19" s="448">
        <f>X_ail</f>
        <v>1800</v>
      </c>
    </row>
    <row r="20" spans="1:20" ht="12.75" customHeight="1" thickTop="1" thickBot="1" x14ac:dyDescent="0.3">
      <c r="A20" s="36"/>
      <c r="B20" s="51"/>
      <c r="C20" s="656" t="str">
        <f>IF(Lang="Français","Coiffe",IF(Lang="English","Nose Cone",""))</f>
        <v>Coiffe</v>
      </c>
      <c r="D20" s="657"/>
      <c r="E20" s="114"/>
      <c r="F20" s="37"/>
      <c r="G20" s="37"/>
      <c r="H20" s="37"/>
      <c r="I20" s="37"/>
      <c r="J20" s="34"/>
      <c r="K20" s="34"/>
      <c r="L20" s="137" t="str">
        <f>IF(Lang="Français","Ail bas entier",IF(Lang="English","Total Lower Fins",""))</f>
        <v>Ail bas entier</v>
      </c>
      <c r="M20" s="652">
        <f>X_ail-m_ail+p_ail*(m_ail+2*n_ail)/(3*(m_ail+n_ail))+(m_ail+n_ail-m_ail*n_ail/(m_ail+n_ail))/6</f>
        <v>1686.4414414414414</v>
      </c>
      <c r="N20" s="653"/>
      <c r="O20" s="651">
        <f>4*Q_ail*POWER((E_ail/D_ref),2)*(1+D_ail/(2*E_ail+D_ail))/(1+SQRT(1+POWER(2*f_ail/(m_ail+n_ail),2)))</f>
        <v>20.203078547045632</v>
      </c>
      <c r="P20" s="651"/>
      <c r="Q20" s="40"/>
      <c r="R20" s="34"/>
    </row>
    <row r="21" spans="1:20" ht="12.75" customHeight="1" thickTop="1" x14ac:dyDescent="0.25">
      <c r="A21" s="36"/>
      <c r="B21" s="172" t="str">
        <f>IF(Lang="Français","Forme",IF(Lang="English","Shape",""))</f>
        <v>Forme</v>
      </c>
      <c r="C21" s="682" t="s">
        <v>550</v>
      </c>
      <c r="D21" s="683"/>
      <c r="E21" s="114"/>
      <c r="F21" s="37"/>
      <c r="G21" s="37"/>
      <c r="H21" s="37"/>
      <c r="I21" s="37"/>
      <c r="J21" s="34"/>
      <c r="K21" s="34"/>
      <c r="L21" s="137" t="str">
        <f>IF(Lang="Français","Ailerons haut",IF(Lang="English","Upper Fins",""))</f>
        <v>Ailerons haut</v>
      </c>
      <c r="M21" s="652">
        <f>IF(LEFT(Type_masquage,1)="M",0, X_can-m_can+p_can*(m_can+2*n_can)/(3*(m_can+n_can))+(m_can+n_can-m_can*n_can/(m_can+n_can))/6)</f>
        <v>0</v>
      </c>
      <c r="N21" s="653"/>
      <c r="O21" s="651">
        <f>IF(LEFT(Type_masquage,1)="M",0, 4*Q_can*POWER((E_can/D_ref),2)*(1+D_can/(2*E_can+D_can))/(1+SQRT(1+POWER(2*f_can/(m_can+n_can),2))))</f>
        <v>0</v>
      </c>
      <c r="P21" s="651"/>
      <c r="Q21" s="40"/>
      <c r="R21" s="34"/>
    </row>
    <row r="22" spans="1:20" ht="12.75" customHeight="1" x14ac:dyDescent="0.25">
      <c r="A22" s="36"/>
      <c r="B22" s="172" t="str">
        <f>IF(Lang="Français","Hauteur",IF(Lang="English","Heigth",""))</f>
        <v>Hauteur</v>
      </c>
      <c r="C22" s="659">
        <v>250</v>
      </c>
      <c r="D22" s="660"/>
      <c r="E22" s="114"/>
      <c r="F22" s="37"/>
      <c r="G22" s="37"/>
      <c r="H22" s="37"/>
      <c r="I22" s="37"/>
      <c r="J22" s="34"/>
      <c r="K22" s="34"/>
      <c r="L22" s="137" t="str">
        <f>IF(Lang="Français","Partie masquée",IF(Lang="English","Interation zone",""))</f>
        <v>Partie masquée</v>
      </c>
      <c r="M22" s="665">
        <f>IF(LEFT(Type_masquage,1)="B", X_int-m_int+p_int*(m_int+2*n_int)/(3*(m_int+n_int))+(m_int+n_int-m_int*n_int/(m_int+n_int))/6, 0 )</f>
        <v>0</v>
      </c>
      <c r="N22" s="665"/>
      <c r="O22" s="654">
        <f>IF(LEFT(Type_masquage,1)="B", 4*Q_int*POWER((E_int/D_ref),2)*(1+D_int/(2*E_int+D_int))/(1+SQRT(1+POWER(2*f_int/(m_int+n_int),2))), 0 )</f>
        <v>0</v>
      </c>
      <c r="P22" s="655"/>
      <c r="Q22" s="40"/>
      <c r="R22" s="34"/>
    </row>
    <row r="23" spans="1:20" ht="12.75" customHeight="1" x14ac:dyDescent="0.25">
      <c r="A23" s="36"/>
      <c r="B23" s="172" t="str">
        <f>IF(Lang="Français","Diamètre",IF(Lang="English","Diameter",""))</f>
        <v>Diamètre</v>
      </c>
      <c r="C23" s="659">
        <v>100</v>
      </c>
      <c r="D23" s="660"/>
      <c r="E23" s="114"/>
      <c r="F23" s="37"/>
      <c r="G23" s="37"/>
      <c r="H23" s="37"/>
      <c r="I23" s="37"/>
      <c r="J23" s="34"/>
      <c r="K23" s="34"/>
      <c r="L23" s="137" t="s">
        <v>157</v>
      </c>
      <c r="M23" s="652">
        <f>IF(OR(RIGHT(Nb_diam,1)=",",D2j=0),0, X_j+l_j/3*(1+1/(1+D1j/D2j)) )</f>
        <v>0</v>
      </c>
      <c r="N23" s="653"/>
      <c r="O23" s="651">
        <f>IF(OR(RIGHT(Nb_diam,1)=",",D2j=0),0,2*(POWER(D2j/D_ref,2)-POWER(D1j/D_ref,2)))</f>
        <v>0</v>
      </c>
      <c r="P23" s="651"/>
      <c r="Q23" s="40"/>
      <c r="R23" s="34"/>
    </row>
    <row r="24" spans="1:20" ht="12.75" customHeight="1" thickBot="1" x14ac:dyDescent="0.3">
      <c r="A24" s="36"/>
      <c r="E24" s="114"/>
      <c r="F24" s="37"/>
      <c r="G24" s="37"/>
      <c r="H24" s="37"/>
      <c r="I24" s="37"/>
      <c r="J24" s="34"/>
      <c r="K24" s="34"/>
      <c r="L24" s="137" t="s">
        <v>158</v>
      </c>
      <c r="M24" s="652">
        <f>IF( OR(RIGHT(Nb_diam,1)=",",D2r=0), 0, X_r+l_r/3*(1+1/(1+D1r/D2r)) )</f>
        <v>0</v>
      </c>
      <c r="N24" s="653"/>
      <c r="O24" s="651">
        <f>IF( OR(RIGHT(Nb_diam,1)=",",D2r=0), 0, 2*(POWER(D2r/D_ref,2)-POWER(D1r/D_ref,2)) )</f>
        <v>0</v>
      </c>
      <c r="P24" s="651"/>
      <c r="Q24" s="40"/>
      <c r="R24" s="34"/>
    </row>
    <row r="25" spans="1:20" ht="12.75" customHeight="1" thickTop="1" thickBot="1" x14ac:dyDescent="0.3">
      <c r="A25" s="36"/>
      <c r="B25" s="41"/>
      <c r="C25" s="211" t="str">
        <f>IF(LEFT(Type_masquage,1)="M",IF(Lang="Français","Ailerons","Fins"),IF(Lang="Français","Ailerons bas","Lower Fins"))</f>
        <v>Ailerons</v>
      </c>
      <c r="D25" s="212" t="str">
        <f>IF(Lang="Français","Ailerons haut",IF(Lang="English","Upper Fins",""))</f>
        <v>Ailerons haut</v>
      </c>
      <c r="E25" s="213" t="s">
        <v>152</v>
      </c>
      <c r="F25" s="37"/>
      <c r="G25" s="37"/>
      <c r="H25" s="37"/>
      <c r="I25" s="37"/>
      <c r="J25" s="34"/>
      <c r="K25" s="53"/>
      <c r="L25" s="54"/>
      <c r="M25" s="54"/>
      <c r="N25" s="54"/>
      <c r="O25" s="34"/>
      <c r="P25" s="34"/>
      <c r="Q25" s="40"/>
      <c r="R25" s="54"/>
      <c r="S25" s="449" t="str">
        <f ca="1">IF(AND(Portee_balistique&gt;200,LEFT(Type_propu,3)="Min"),IF(Lang="Français","Fusée trop lègère !","Rocket too light"),"")</f>
        <v/>
      </c>
    </row>
    <row r="26" spans="1:20" ht="12.75" customHeight="1" thickTop="1" x14ac:dyDescent="0.25">
      <c r="A26" s="36"/>
      <c r="B26" s="41"/>
      <c r="C26" s="678" t="s">
        <v>426</v>
      </c>
      <c r="D26" s="679"/>
      <c r="E26" s="117"/>
      <c r="F26" s="55">
        <f ca="1">TODAY()</f>
        <v>44888</v>
      </c>
      <c r="G26" s="170" t="s">
        <v>63</v>
      </c>
      <c r="H26" s="646" t="str">
        <f>IF(Lang="Français","Résultats",IF(Lang="English","Results",""))</f>
        <v>Résultats</v>
      </c>
      <c r="I26" s="646"/>
      <c r="J26" s="170" t="s">
        <v>64</v>
      </c>
      <c r="K26" s="43"/>
      <c r="L26" s="54"/>
      <c r="M26" s="54"/>
      <c r="N26" s="54"/>
      <c r="O26" s="34"/>
      <c r="P26" s="34"/>
      <c r="Q26" s="40"/>
      <c r="R26" s="54"/>
      <c r="S26" s="449" t="str">
        <f ca="1">IF(AND(Vsortie_de_rampe&lt;18, OR(LEFT(Type_fusee,1)=",",LEFT(Type_fusee,4)="Mini",LEFT(Type_fusee,1)="R")),IF(Lang="Français","Fusée trop lourde ou rampe trop courte !","Rocket too heavy or launch pad too small!"),"")</f>
        <v/>
      </c>
    </row>
    <row r="27" spans="1:20" ht="12.75" customHeight="1" x14ac:dyDescent="0.25">
      <c r="A27" s="36"/>
      <c r="B27" s="628" t="str">
        <f>IF(Lang="Français"," Emplanture  'm'",IF(Lang="English"," Root edge  'm'",""))</f>
        <v xml:space="preserve"> Emplanture  'm'</v>
      </c>
      <c r="C27" s="210">
        <v>250</v>
      </c>
      <c r="D27" s="210">
        <v>70</v>
      </c>
      <c r="E27" s="179">
        <f>m_ail</f>
        <v>250</v>
      </c>
      <c r="F27" s="134" t="s">
        <v>65</v>
      </c>
      <c r="G27" s="133">
        <f>IF(RIGHT(Type_fusee,1)=".",10, IF(OR(LEFT(Type_fusee,1)="R",LEFT(Type_fusee,1)=",",LEFT(Type_fusee,4)="Mini"),10, IF(LEFT(Type_fusee,5)="Micro",10, IF(RIGHT(Type_fusee,1)=" ",1))))</f>
        <v>10</v>
      </c>
      <c r="H27" s="694">
        <f>Long_tot/D_ref</f>
        <v>18</v>
      </c>
      <c r="I27" s="695"/>
      <c r="J27" s="133">
        <f>IF(RIGHT(Type_fusee,1)=".",35, IF(OR(LEFT(Type_fusee,1)="R",LEFT(Type_fusee,1)=",",LEFT(Type_fusee,4)="Mini"),20, IF(LEFT(Type_fusee,5)="Micro",30, IF(RIGHT(Type_fusee,1)=" ",100))))</f>
        <v>35</v>
      </c>
      <c r="K27" s="43"/>
      <c r="L27" s="54"/>
      <c r="M27" s="54"/>
      <c r="N27" s="54"/>
      <c r="O27" s="34"/>
      <c r="P27" s="34"/>
      <c r="Q27" s="40"/>
      <c r="R27" s="54"/>
      <c r="S27" s="449" t="str">
        <f>IF(Finesse&lt;CritFinessemin, IF(Lang="Français","Fusée trop courte !","Rocket too short!"), "" ) &amp; IF(Finesse&gt;CritFinessemax, IF(Lang="Français","Fusée trop longue !","Rocket too long!"), "" )</f>
        <v/>
      </c>
    </row>
    <row r="28" spans="1:20" ht="12.75" customHeight="1" x14ac:dyDescent="0.25">
      <c r="A28" s="36"/>
      <c r="B28" s="628" t="str">
        <f>IF(Lang="Français"," Saumon       'n'",IF(Lang="English"," Tip edge    'n'",""))</f>
        <v xml:space="preserve"> Saumon       'n'</v>
      </c>
      <c r="C28" s="48">
        <v>120</v>
      </c>
      <c r="D28" s="48">
        <v>10</v>
      </c>
      <c r="E28" s="179">
        <f>n_ail+(m_ail-n_ail)*(1-E_int/E_ail)</f>
        <v>209.375</v>
      </c>
      <c r="F28" s="134" t="str">
        <f>IF(Lang="Français","Portance","Lift")</f>
        <v>Portance</v>
      </c>
      <c r="G28" s="133">
        <f>IF(RIGHT(Type_fusee,1)=".",15,IF(OR(LEFT(Type_fusee,1)="R",LEFT(Type_fusee,1)=",",LEFT(Type_fusee,4)="Mini"),15, IF(LEFT(Type_fusee,5)="Micro",15, IF(RIGHT(Type_fusee,1)=" ",15))))</f>
        <v>15</v>
      </c>
      <c r="H28" s="597">
        <f>Cnai+Cnc+Cno+Cnj+Cnr</f>
        <v>22.203078547045632</v>
      </c>
      <c r="I28" s="597">
        <f>Cnail+Cnc+Cno+Cnj+Cnr</f>
        <v>22.203078547045632</v>
      </c>
      <c r="J28" s="133">
        <f>IF(RIGHT(Type_fusee,1)=".",40, IF(OR(LEFT(Type_fusee,1)="R",LEFT(Type_fusee,1)=",",LEFT(Type_fusee,4)="Mini"),30, IF(LEFT(Type_fusee,5)="Micro",30, IF(RIGHT(Type_fusee,1)=" ",30))))</f>
        <v>40</v>
      </c>
      <c r="K28" s="43"/>
      <c r="L28" s="54"/>
      <c r="M28" s="54"/>
      <c r="N28" s="54"/>
      <c r="O28" s="34"/>
      <c r="P28" s="34"/>
      <c r="Q28" s="40"/>
      <c r="R28" s="54"/>
      <c r="S28" s="449" t="str">
        <f>IF(Cn&lt;CritCnmin, IF(Lang="Français","Ailerons trop petits !","Fins too small!"), "" ) &amp; IF(Cn&gt;CritCnmax, IF(Lang="Français","Ailerons trop grands !","Fins too big!"), "" )</f>
        <v/>
      </c>
    </row>
    <row r="29" spans="1:20" ht="12.75" customHeight="1" x14ac:dyDescent="0.25">
      <c r="A29" s="36"/>
      <c r="B29" s="628" t="str">
        <f>IF(Lang="Français"," Flèche          'p'"," Offset         'p'")</f>
        <v xml:space="preserve"> Flèche          'p'</v>
      </c>
      <c r="C29" s="48">
        <v>200</v>
      </c>
      <c r="D29" s="48">
        <v>40</v>
      </c>
      <c r="E29" s="179">
        <f>p_ail*E_int/E_ail</f>
        <v>62.5</v>
      </c>
      <c r="F29" s="605" t="str">
        <f>IF(Lang="Français","MargeStat.","StatMargin")</f>
        <v>MargeStat.</v>
      </c>
      <c r="G29" s="599">
        <f>IF(RIGHT(Type_fusee,1)=".",2, IF(OR(LEFT(Type_fusee,1)="R",LEFT(Type_fusee,1)=",",LEFT(Type_fusee,4)="Mini"),1.5, IF(LEFT(Type_fusee,5)="Micro",1, IF(RIGHT(Type_fusee,1)=" ",1))))</f>
        <v>2</v>
      </c>
      <c r="H29" s="126">
        <f ca="1">(XCp-XcgPlein)/D_ref</f>
        <v>2.8801592027938705</v>
      </c>
      <c r="I29" s="127">
        <f ca="1">(XCp0-XcgVide)/D_ref</f>
        <v>3.4083177735054528</v>
      </c>
      <c r="J29" s="599">
        <f>IF(RIGHT(Type_fusee,1)=".",6, IF(OR(LEFT(Type_fusee,1)="R",LEFT(Type_fusee,1)=",",LEFT(Type_fusee,4)="Mini"),6, IF(LEFT(Type_fusee,5)="Micro",3, IF(RIGHT(Type_fusee,1)=" ",3))))</f>
        <v>6</v>
      </c>
      <c r="K29" s="43"/>
      <c r="L29" s="34"/>
      <c r="M29" s="34"/>
      <c r="N29" s="34"/>
      <c r="O29" s="34"/>
      <c r="P29" s="34"/>
      <c r="Q29" s="40"/>
      <c r="R29" s="54"/>
      <c r="S29" s="449" t="str">
        <f ca="1">IF(MS_min&lt;CritMsmin, IF(Lang="Français","Abaisser les ailerons ou rehausser le CdM !","Lower the fins or move up the center of mass!"), "" ) &amp; IF(MS_max&gt;CritMsmax, IF(Lang="Français","Rehausser les ailerons ou abaisser le CdM !","Move up the fins or lower the center of mass!"), "" )</f>
        <v/>
      </c>
    </row>
    <row r="30" spans="1:20" ht="12.75" customHeight="1" x14ac:dyDescent="0.25">
      <c r="A30" s="36"/>
      <c r="B30" s="628" t="str">
        <f>IF(Lang="Français"," Envergure     'E'",IF(Lang="English"," Span          'E'",""))</f>
        <v xml:space="preserve"> Envergure     'E'</v>
      </c>
      <c r="C30" s="48">
        <v>160</v>
      </c>
      <c r="D30" s="48">
        <v>50</v>
      </c>
      <c r="E30" s="179">
        <f>IF(D_can/2+E_can&lt;=D_ail/2,0, IF(D_can/2+E_can&gt;=D_ail/2+E_ail,E_ail,  D_can/2+E_can - D_ail/2  ) )</f>
        <v>50</v>
      </c>
      <c r="F30" s="606" t="str">
        <f>IF(Lang="Français","Couple","Torque")</f>
        <v>Couple</v>
      </c>
      <c r="G30" s="600">
        <f>IF(RIGHT(Type_fusee,1)=".",40, IF(OR(LEFT(Type_fusee,1)="R",LEFT(Type_fusee,1)=",",LEFT(Type_fusee,4)="Mini"),30, IF(LEFT(Type_fusee,5)="Micro",15, IF(RIGHT(Type_fusee,1)=" ",15))))</f>
        <v>40</v>
      </c>
      <c r="H30" s="128">
        <f ca="1">MS_min*Cn</f>
        <v>63.948401007628632</v>
      </c>
      <c r="I30" s="125">
        <f ca="1">MS_max*Cn0</f>
        <v>75.675147238433254</v>
      </c>
      <c r="J30" s="600">
        <f>IF(RIGHT(Type_fusee,1)=".",100, IF(OR(LEFT(Type_fusee,1)="R",LEFT(Type_fusee,1)=",",LEFT(Type_fusee,4)="Mini"),100, IF(LEFT(Type_fusee,5)="Micro",100, IF(RIGHT(Type_fusee,1)=" ",90))))</f>
        <v>100</v>
      </c>
      <c r="K30" s="43"/>
      <c r="L30" s="34"/>
      <c r="M30" s="34"/>
      <c r="N30" s="34"/>
      <c r="O30" s="34"/>
      <c r="P30" s="34"/>
      <c r="Q30" s="40"/>
      <c r="R30" s="54"/>
      <c r="S30" s="449" t="str">
        <f ca="1">IF(MS_Cn_min&lt;CritMsCnmin, IF(Lang="Français","Ailerons trop petits ou trop haut /CdM !","Fins too small or too high /CoM!"), "" ) &amp; IF(MS_Cn_max&gt;CritMsCnmax, IF(Lang="Français","Ailerons trop grands ou trop bas  /CdM !","Fins too big or too low / CoM!"), "" )</f>
        <v/>
      </c>
    </row>
    <row r="31" spans="1:20" ht="12.75" customHeight="1" x14ac:dyDescent="0.25">
      <c r="A31" s="36"/>
      <c r="B31" s="629" t="str">
        <f>IF(Lang="Français"," Epaisseur     'ep'",IF(Lang="English"," Thickness  'ep'",""))</f>
        <v xml:space="preserve"> Epaisseur     'ep'</v>
      </c>
      <c r="C31" s="48">
        <v>2</v>
      </c>
      <c r="D31" s="48">
        <v>2</v>
      </c>
      <c r="E31" s="179">
        <f>ep_ail</f>
        <v>2</v>
      </c>
      <c r="F31" s="135" t="s">
        <v>56</v>
      </c>
      <c r="G31" s="132"/>
      <c r="H31" s="598">
        <f>(Cnai*XCpai+Cnc*XCpc+Cnj*XCpj+Cnr*XCpr+Cno*XCpo)/(Cnai+Cnc+Cnr+Cnj+Cno)</f>
        <v>1545.0398991779564</v>
      </c>
      <c r="I31" s="598">
        <f>(Cnail*XCpa+Cnc*XCpc+Cnj*XCpj+Cnr*XCpr+Cno*XCpo)/(Cnail+Cnc+Cnr+Cnj+Cno)</f>
        <v>1545.0398991779564</v>
      </c>
      <c r="J31" s="131"/>
      <c r="K31" s="43"/>
      <c r="L31" s="34"/>
      <c r="M31" s="34"/>
      <c r="N31" s="34"/>
      <c r="O31" s="34"/>
      <c r="P31" s="34"/>
      <c r="Q31" s="40"/>
      <c r="R31" s="54"/>
      <c r="S31" s="449"/>
    </row>
    <row r="32" spans="1:20" ht="12.75" customHeight="1" x14ac:dyDescent="0.25">
      <c r="A32" s="36"/>
      <c r="B32" s="628" t="str">
        <f>IF(Lang="Français"," Nombre            ",IF(Lang="English"," Number of fins",""))</f>
        <v xml:space="preserve"> Nombre            </v>
      </c>
      <c r="C32" s="49">
        <v>4</v>
      </c>
      <c r="D32" s="49">
        <v>4</v>
      </c>
      <c r="E32" s="179">
        <f>IF(Q_ail=Q_can,Q_ail,FALSE)</f>
        <v>4</v>
      </c>
      <c r="F32" s="135" t="s">
        <v>67</v>
      </c>
      <c r="G32" s="132"/>
      <c r="H32" s="129">
        <f ca="1">(XCp-XcgPlein)/Long_tot*100</f>
        <v>16.000884459965945</v>
      </c>
      <c r="I32" s="130">
        <f ca="1">(XCp-XcgVide)/Long_tot*100</f>
        <v>18.935098741696958</v>
      </c>
      <c r="J32" s="131"/>
      <c r="K32" s="43"/>
      <c r="L32" s="34"/>
      <c r="M32" s="34"/>
      <c r="N32" s="34"/>
      <c r="O32" s="34"/>
      <c r="P32" s="34"/>
      <c r="Q32" s="40"/>
      <c r="R32" s="54"/>
    </row>
    <row r="33" spans="1:23" ht="12.75" customHeight="1" x14ac:dyDescent="0.25">
      <c r="A33" s="36"/>
      <c r="B33" s="628" t="str">
        <f>IF(Lang="Français"," Position du bas",IF(Lang="English"," Basement",""))</f>
        <v xml:space="preserve"> Position du bas</v>
      </c>
      <c r="C33" s="48">
        <f>Long_tot</f>
        <v>1800</v>
      </c>
      <c r="D33" s="48">
        <v>700</v>
      </c>
      <c r="E33" s="179">
        <f>X_ail</f>
        <v>1800</v>
      </c>
      <c r="F33" s="37"/>
      <c r="G33" s="34"/>
      <c r="H33" s="684" t="str">
        <f ca="1">IF(AND(CritCnmin&lt;Cn,Cn0&lt;CritCnmax,CritMsmin&lt;MS_min,MS_max&lt;CritMsmax,CritMsCnmin&lt;MS_Cn_min,MS_Cn_max&lt;CritMsCnmax),"STABLE",IF(OR(Cn&lt;CritCnmin,MS_min&lt;CritMsmin,MS_Cn_min&lt;CritMsCnmin),"INSTABLE",IF(Lang="Français","SURSTABLE","OVERSTABLE")))</f>
        <v>STABLE</v>
      </c>
      <c r="I33" s="685"/>
      <c r="J33" s="46"/>
      <c r="K33" s="43"/>
      <c r="L33" s="34"/>
      <c r="M33" s="34"/>
      <c r="N33" s="34"/>
      <c r="O33" s="34"/>
      <c r="P33" s="34"/>
      <c r="Q33" s="40"/>
      <c r="R33" s="54"/>
    </row>
    <row r="34" spans="1:23" ht="12.75" customHeight="1" x14ac:dyDescent="0.25">
      <c r="A34" s="36"/>
      <c r="B34" s="628" t="str">
        <f>IF(Lang="Français"," Diamètre         ",IF(Lang="English"," Diameter at Fins",""))</f>
        <v xml:space="preserve"> Diamètre         </v>
      </c>
      <c r="C34" s="48">
        <f>D_ref</f>
        <v>100</v>
      </c>
      <c r="D34" s="48">
        <f>D_ref</f>
        <v>100</v>
      </c>
      <c r="E34" s="179">
        <f>D_ail</f>
        <v>100</v>
      </c>
      <c r="F34" s="37"/>
      <c r="G34" s="34"/>
      <c r="H34" s="686"/>
      <c r="I34" s="687"/>
      <c r="J34" s="34"/>
      <c r="K34" s="43"/>
      <c r="L34" s="34"/>
      <c r="M34" s="34"/>
      <c r="N34" s="34"/>
      <c r="O34" s="34"/>
      <c r="P34" s="34"/>
      <c r="Q34" s="40"/>
      <c r="R34" s="54"/>
    </row>
    <row r="35" spans="1:23" ht="12.75" customHeight="1" x14ac:dyDescent="0.25">
      <c r="A35" s="36"/>
      <c r="B35" s="628" t="str">
        <f>IF(Lang="Français"," Ligne mi-corde f",IF(Lang="English"," Mid-chord line f",""))</f>
        <v xml:space="preserve"> Ligne mi-corde f</v>
      </c>
      <c r="C35" s="178">
        <f>SQRT(POWER(p_ail+n_ail/2-m_ail/2,2)+POWER(E_ail,2))</f>
        <v>209.34421415458323</v>
      </c>
      <c r="D35" s="178">
        <f>SQRT(POWER(p_can+n_can/2-m_can/2,2)+POWER(E_can,2))</f>
        <v>50.990195135927848</v>
      </c>
      <c r="E35" s="179">
        <f>SQRT(POWER(p_int+n_int/2-m_int/2,2)+POWER(E_int,2))</f>
        <v>65.42006692330726</v>
      </c>
      <c r="F35" s="37"/>
      <c r="G35" s="37"/>
      <c r="H35" s="37"/>
      <c r="I35" s="37"/>
      <c r="J35" s="34"/>
      <c r="K35" s="43"/>
      <c r="L35" s="34"/>
      <c r="M35" s="34"/>
      <c r="N35" s="34"/>
      <c r="O35" s="34"/>
      <c r="P35" s="34"/>
      <c r="Q35" s="40"/>
      <c r="R35" s="54"/>
      <c r="W35" s="35" t="str">
        <f>RIGHT(Type_fusee,1="R")</f>
        <v/>
      </c>
    </row>
    <row r="36" spans="1:23" ht="12.75" customHeight="1" thickBot="1" x14ac:dyDescent="0.3">
      <c r="A36" s="57"/>
      <c r="B36" s="216" t="str">
        <f>IF(Lang="Français","Commentaire libre :",IF(Lang="English","Free comment:",""))</f>
        <v>Commentaire libre :</v>
      </c>
      <c r="C36" s="58"/>
      <c r="D36" s="59"/>
      <c r="E36" s="118"/>
      <c r="F36" s="89"/>
      <c r="G36" s="89"/>
      <c r="H36" s="89"/>
      <c r="I36" s="89"/>
      <c r="J36" s="60"/>
      <c r="K36" s="59"/>
      <c r="L36" s="450" t="s">
        <v>271</v>
      </c>
      <c r="M36" s="453" t="str">
        <f>IF(ROUND(SUM(Propu!5:1228),0)=395253,"propu OK","propu NOK")</f>
        <v>propu OK</v>
      </c>
      <c r="N36" s="452" t="str">
        <f>IF(Lang="Français","fichier initial","Initial file")</f>
        <v>fichier initial</v>
      </c>
      <c r="O36" s="453"/>
      <c r="P36" s="451"/>
      <c r="Q36" s="341" t="s">
        <v>546</v>
      </c>
      <c r="R36" s="54"/>
    </row>
    <row r="37" spans="1:23" ht="12.75" customHeight="1" x14ac:dyDescent="0.25">
      <c r="R37" s="61"/>
    </row>
    <row r="38" spans="1:23" x14ac:dyDescent="0.25">
      <c r="L38" s="265" t="str">
        <f>IF(Lang="Français","Maintenant que votre fusée est stable, vérifiez sa trajectoire via la feuille","Now your rocket is stable, check its trajectory on sheet")</f>
        <v>Maintenant que votre fusée est stable, vérifiez sa trajectoire via la feuille</v>
      </c>
      <c r="M38" s="569" t="s">
        <v>181</v>
      </c>
    </row>
    <row r="39" spans="1:23" x14ac:dyDescent="0.25">
      <c r="H39" s="264"/>
      <c r="O39" s="56"/>
      <c r="P39" s="56"/>
    </row>
    <row r="40" spans="1:23" x14ac:dyDescent="0.25">
      <c r="F40" s="35"/>
      <c r="H40" s="61"/>
      <c r="I40" s="62"/>
      <c r="J40" s="61"/>
      <c r="N40" s="61"/>
      <c r="Q40" s="61"/>
      <c r="S40" s="595"/>
    </row>
    <row r="41" spans="1:23" x14ac:dyDescent="0.25">
      <c r="F41" s="35"/>
      <c r="G41" s="592"/>
      <c r="H41" s="593"/>
      <c r="I41" s="62"/>
      <c r="J41" s="61"/>
      <c r="N41" s="61"/>
      <c r="Q41" s="61"/>
      <c r="R41" s="61"/>
    </row>
    <row r="42" spans="1:23" x14ac:dyDescent="0.25">
      <c r="F42" s="35"/>
      <c r="H42" s="61"/>
      <c r="I42" s="62"/>
      <c r="J42" s="61"/>
      <c r="N42" s="61"/>
      <c r="Q42" s="61"/>
      <c r="R42" s="61"/>
    </row>
    <row r="43" spans="1:23" x14ac:dyDescent="0.25">
      <c r="F43" s="35"/>
      <c r="H43" s="61"/>
      <c r="I43" s="62"/>
      <c r="J43" s="61"/>
      <c r="N43" s="61"/>
      <c r="Q43" s="61"/>
      <c r="R43" s="61"/>
    </row>
    <row r="44" spans="1:23" x14ac:dyDescent="0.25">
      <c r="F44" s="35"/>
      <c r="H44" s="61"/>
      <c r="I44" s="62"/>
      <c r="J44" s="61"/>
      <c r="N44" s="61"/>
      <c r="O44" s="34"/>
      <c r="P44" s="34"/>
      <c r="Q44" s="61"/>
      <c r="R44" s="61"/>
    </row>
    <row r="45" spans="1:23" x14ac:dyDescent="0.25">
      <c r="F45" s="35"/>
      <c r="H45" s="61"/>
      <c r="I45" s="62"/>
      <c r="J45" s="61"/>
      <c r="N45" s="61"/>
      <c r="O45" s="34"/>
      <c r="P45" s="34"/>
      <c r="Q45" s="61"/>
      <c r="R45" s="61"/>
    </row>
    <row r="46" spans="1:23" x14ac:dyDescent="0.25">
      <c r="F46" s="35"/>
      <c r="H46" s="61"/>
      <c r="I46" s="62"/>
      <c r="J46" s="61"/>
      <c r="L46" s="61"/>
      <c r="M46" s="61"/>
      <c r="N46" s="61"/>
      <c r="O46" s="34"/>
      <c r="P46" s="34"/>
      <c r="Q46" s="61"/>
      <c r="R46" s="61"/>
    </row>
    <row r="47" spans="1:23" x14ac:dyDescent="0.25">
      <c r="F47" s="35"/>
      <c r="H47" s="61"/>
      <c r="I47" s="62"/>
      <c r="J47" s="61"/>
      <c r="L47" s="61"/>
      <c r="M47" s="61"/>
      <c r="N47" s="61"/>
      <c r="O47" s="34"/>
      <c r="P47" s="34"/>
      <c r="Q47" s="61"/>
      <c r="R47" s="61"/>
    </row>
    <row r="48" spans="1:23" x14ac:dyDescent="0.25">
      <c r="F48" s="35"/>
      <c r="H48" s="61"/>
      <c r="I48" s="62"/>
      <c r="J48" s="61"/>
      <c r="L48" s="61"/>
      <c r="M48" s="61"/>
      <c r="N48" s="61"/>
      <c r="O48" s="34"/>
      <c r="P48" s="34"/>
      <c r="Q48" s="61"/>
      <c r="R48" s="61"/>
    </row>
    <row r="49" spans="2:18" x14ac:dyDescent="0.25">
      <c r="F49" s="35"/>
      <c r="H49" s="61"/>
      <c r="I49" s="62"/>
      <c r="J49" s="61"/>
      <c r="L49" s="61"/>
      <c r="M49" s="61"/>
      <c r="N49" s="61"/>
      <c r="O49" s="34"/>
      <c r="P49" s="34"/>
      <c r="Q49" s="61"/>
      <c r="R49" s="61"/>
    </row>
    <row r="50" spans="2:18" x14ac:dyDescent="0.25">
      <c r="F50" s="35"/>
      <c r="H50" s="61"/>
      <c r="I50" s="62"/>
      <c r="J50" s="61"/>
      <c r="L50" s="61"/>
      <c r="M50" s="61"/>
      <c r="N50" s="61"/>
      <c r="O50" s="34"/>
      <c r="P50" s="34"/>
      <c r="Q50" s="61"/>
      <c r="R50" s="61"/>
    </row>
    <row r="51" spans="2:18" x14ac:dyDescent="0.25">
      <c r="F51" s="35"/>
      <c r="H51" s="61"/>
      <c r="I51" s="62"/>
      <c r="J51" s="61"/>
      <c r="L51" s="61"/>
      <c r="M51" s="61"/>
      <c r="N51" s="61"/>
      <c r="O51" s="34"/>
      <c r="P51" s="34"/>
      <c r="Q51" s="61"/>
      <c r="R51" s="61"/>
    </row>
    <row r="52" spans="2:18" x14ac:dyDescent="0.25">
      <c r="H52" s="61"/>
      <c r="I52" s="62"/>
      <c r="J52" s="61"/>
      <c r="L52" s="61"/>
      <c r="M52" s="61"/>
      <c r="N52" s="61"/>
      <c r="O52" s="34"/>
      <c r="P52" s="34"/>
      <c r="Q52" s="61"/>
      <c r="R52" s="61"/>
    </row>
    <row r="53" spans="2:18" x14ac:dyDescent="0.25">
      <c r="H53" s="61"/>
      <c r="I53" s="62"/>
      <c r="J53" s="61"/>
      <c r="L53" s="61"/>
      <c r="M53" s="61"/>
      <c r="N53" s="61"/>
      <c r="Q53" s="61"/>
      <c r="R53" s="61"/>
    </row>
    <row r="54" spans="2:18" x14ac:dyDescent="0.25">
      <c r="H54" s="61"/>
      <c r="I54" s="62"/>
      <c r="J54" s="61"/>
      <c r="L54" s="61"/>
      <c r="M54" s="61"/>
      <c r="N54" s="61"/>
      <c r="Q54" s="61"/>
      <c r="R54" s="61"/>
    </row>
    <row r="55" spans="2:18" x14ac:dyDescent="0.25">
      <c r="H55" s="61"/>
      <c r="I55" s="62"/>
      <c r="J55" s="61"/>
      <c r="L55" s="61"/>
      <c r="M55" s="61"/>
      <c r="N55" s="61"/>
      <c r="Q55" s="61"/>
      <c r="R55" s="61"/>
    </row>
    <row r="56" spans="2:18" x14ac:dyDescent="0.25">
      <c r="C56" s="35"/>
      <c r="H56" s="61"/>
      <c r="I56" s="62"/>
      <c r="J56" s="61"/>
      <c r="L56" s="61"/>
      <c r="M56" s="61"/>
      <c r="N56" s="61"/>
      <c r="Q56" s="61"/>
      <c r="R56" s="61"/>
    </row>
    <row r="57" spans="2:18" x14ac:dyDescent="0.25">
      <c r="H57" s="61"/>
      <c r="I57" s="62"/>
      <c r="J57" s="61"/>
      <c r="L57" s="61"/>
      <c r="M57" s="61"/>
      <c r="N57" s="61"/>
      <c r="Q57" s="61"/>
      <c r="R57" s="61"/>
    </row>
    <row r="58" spans="2:18" x14ac:dyDescent="0.25">
      <c r="B58" s="52"/>
      <c r="H58" s="61"/>
      <c r="I58" s="62"/>
      <c r="J58" s="61"/>
      <c r="L58" s="61"/>
      <c r="M58" s="61"/>
      <c r="N58" s="61"/>
      <c r="Q58" s="61"/>
      <c r="R58" s="61"/>
    </row>
    <row r="59" spans="2:18" x14ac:dyDescent="0.25">
      <c r="B59" s="52"/>
      <c r="H59" s="61"/>
      <c r="I59" s="62"/>
      <c r="J59" s="61"/>
      <c r="L59" s="61"/>
      <c r="M59" s="61"/>
      <c r="N59" s="61"/>
      <c r="Q59" s="61"/>
      <c r="R59" s="61"/>
    </row>
    <row r="60" spans="2:18" x14ac:dyDescent="0.25">
      <c r="B60" s="52"/>
      <c r="H60" s="61"/>
      <c r="I60" s="62"/>
      <c r="J60" s="61"/>
      <c r="L60" s="61"/>
      <c r="M60" s="61"/>
      <c r="N60" s="61"/>
      <c r="Q60" s="61"/>
      <c r="R60" s="61"/>
    </row>
    <row r="61" spans="2:18" x14ac:dyDescent="0.25">
      <c r="B61" s="52"/>
      <c r="H61" s="61"/>
      <c r="I61" s="62"/>
      <c r="J61" s="61"/>
      <c r="L61" s="61"/>
      <c r="M61" s="61"/>
      <c r="N61" s="61"/>
      <c r="Q61" s="61"/>
      <c r="R61" s="61"/>
    </row>
    <row r="62" spans="2:18" x14ac:dyDescent="0.25">
      <c r="B62" s="52"/>
      <c r="H62" s="61"/>
      <c r="I62" s="62"/>
      <c r="J62" s="61"/>
      <c r="L62" s="61"/>
      <c r="M62" s="61"/>
      <c r="N62" s="61"/>
      <c r="Q62" s="61"/>
      <c r="R62" s="61"/>
    </row>
    <row r="63" spans="2:18" x14ac:dyDescent="0.25">
      <c r="B63" s="52"/>
      <c r="H63" s="61"/>
      <c r="I63" s="62"/>
      <c r="J63" s="61"/>
      <c r="L63" s="61"/>
      <c r="M63" s="61"/>
      <c r="N63" s="61"/>
      <c r="Q63" s="61"/>
      <c r="R63" s="61"/>
    </row>
    <row r="64" spans="2:18" x14ac:dyDescent="0.25">
      <c r="B64" s="52"/>
      <c r="H64" s="61"/>
      <c r="I64" s="62"/>
      <c r="J64" s="61"/>
      <c r="L64" s="61"/>
      <c r="M64" s="61"/>
      <c r="N64" s="61"/>
      <c r="Q64" s="61"/>
      <c r="R64" s="61"/>
    </row>
    <row r="65" spans="2:18" x14ac:dyDescent="0.25">
      <c r="B65" s="52"/>
      <c r="H65" s="61"/>
      <c r="I65" s="62"/>
      <c r="J65" s="61"/>
      <c r="L65" s="61"/>
      <c r="M65" s="61"/>
      <c r="N65" s="61"/>
      <c r="Q65" s="61"/>
      <c r="R65" s="61"/>
    </row>
    <row r="66" spans="2:18" x14ac:dyDescent="0.25">
      <c r="B66" s="52"/>
      <c r="H66" s="61"/>
      <c r="I66" s="62"/>
      <c r="J66" s="61"/>
      <c r="L66" s="61"/>
      <c r="M66" s="61"/>
      <c r="N66" s="61"/>
      <c r="Q66" s="61"/>
      <c r="R66" s="61"/>
    </row>
    <row r="67" spans="2:18" x14ac:dyDescent="0.25">
      <c r="C67" s="35"/>
      <c r="H67" s="61"/>
      <c r="I67" s="62"/>
      <c r="J67" s="61"/>
      <c r="L67" s="61"/>
      <c r="M67" s="61"/>
      <c r="N67" s="61"/>
      <c r="Q67" s="61"/>
      <c r="R67" s="61"/>
    </row>
    <row r="68" spans="2:18" x14ac:dyDescent="0.25">
      <c r="C68" s="35"/>
      <c r="H68" s="61"/>
      <c r="I68" s="62"/>
      <c r="J68" s="61"/>
      <c r="L68" s="61"/>
      <c r="M68" s="61"/>
      <c r="N68" s="61"/>
      <c r="Q68" s="61"/>
      <c r="R68" s="61"/>
    </row>
    <row r="69" spans="2:18" x14ac:dyDescent="0.25">
      <c r="C69" s="35"/>
      <c r="H69" s="61"/>
      <c r="I69" s="62"/>
      <c r="J69" s="61"/>
      <c r="L69" s="61"/>
      <c r="M69" s="61"/>
      <c r="N69" s="61"/>
      <c r="Q69" s="61"/>
      <c r="R69" s="61"/>
    </row>
    <row r="70" spans="2:18" x14ac:dyDescent="0.25">
      <c r="C70" s="35"/>
      <c r="H70" s="61"/>
      <c r="I70" s="62"/>
      <c r="J70" s="61"/>
      <c r="L70" s="61"/>
      <c r="M70" s="61"/>
      <c r="N70" s="61"/>
      <c r="Q70" s="61"/>
      <c r="R70" s="61"/>
    </row>
    <row r="71" spans="2:18" x14ac:dyDescent="0.25">
      <c r="C71" s="35"/>
      <c r="H71" s="61"/>
      <c r="I71" s="62"/>
      <c r="J71" s="61"/>
      <c r="L71" s="61"/>
      <c r="M71" s="61"/>
      <c r="N71" s="61"/>
      <c r="Q71" s="61"/>
      <c r="R71" s="61"/>
    </row>
    <row r="72" spans="2:18" x14ac:dyDescent="0.25">
      <c r="C72" s="35"/>
      <c r="H72" s="61"/>
      <c r="I72" s="62"/>
      <c r="J72" s="61"/>
      <c r="L72" s="61"/>
      <c r="M72" s="61"/>
      <c r="N72" s="61"/>
      <c r="Q72" s="61"/>
      <c r="R72" s="61"/>
    </row>
    <row r="73" spans="2:18" x14ac:dyDescent="0.25">
      <c r="C73" s="35"/>
      <c r="H73" s="61"/>
      <c r="I73" s="62"/>
      <c r="J73" s="61"/>
      <c r="L73" s="61"/>
      <c r="M73" s="61"/>
      <c r="N73" s="61"/>
      <c r="Q73" s="61"/>
      <c r="R73" s="61"/>
    </row>
    <row r="74" spans="2:18" x14ac:dyDescent="0.25">
      <c r="C74" s="35"/>
      <c r="H74" s="61"/>
      <c r="I74" s="62"/>
      <c r="J74" s="61"/>
      <c r="L74" s="61"/>
      <c r="M74" s="61"/>
      <c r="N74" s="61"/>
      <c r="Q74" s="61"/>
      <c r="R74" s="61"/>
    </row>
    <row r="75" spans="2:18" x14ac:dyDescent="0.25">
      <c r="C75" s="35"/>
      <c r="H75" s="61"/>
      <c r="I75" s="62"/>
      <c r="J75" s="61"/>
      <c r="L75" s="61"/>
      <c r="M75" s="61"/>
      <c r="N75" s="61"/>
      <c r="Q75" s="61"/>
      <c r="R75" s="61"/>
    </row>
    <row r="76" spans="2:18" x14ac:dyDescent="0.25">
      <c r="C76" s="35"/>
      <c r="H76" s="61"/>
      <c r="I76" s="62"/>
      <c r="J76" s="61"/>
      <c r="L76" s="61"/>
      <c r="M76" s="61"/>
      <c r="N76" s="61"/>
      <c r="Q76" s="61"/>
      <c r="R76" s="61"/>
    </row>
    <row r="77" spans="2:18" x14ac:dyDescent="0.25">
      <c r="C77" s="35"/>
      <c r="H77" s="61"/>
      <c r="I77" s="62"/>
      <c r="J77" s="61"/>
      <c r="L77" s="61"/>
      <c r="M77" s="61"/>
      <c r="N77" s="61"/>
      <c r="Q77" s="61"/>
      <c r="R77" s="61"/>
    </row>
    <row r="78" spans="2:18" x14ac:dyDescent="0.25">
      <c r="C78" s="35"/>
      <c r="H78" s="61"/>
      <c r="I78" s="62"/>
      <c r="J78" s="61"/>
      <c r="L78" s="61"/>
      <c r="M78" s="61"/>
      <c r="N78" s="61"/>
      <c r="Q78" s="61"/>
      <c r="R78" s="61"/>
    </row>
    <row r="79" spans="2:18" x14ac:dyDescent="0.25">
      <c r="C79" s="35"/>
      <c r="H79" s="61"/>
      <c r="I79" s="62"/>
      <c r="J79" s="61"/>
      <c r="L79" s="61"/>
      <c r="M79" s="61"/>
      <c r="N79" s="61"/>
      <c r="Q79" s="61"/>
      <c r="R79" s="61"/>
    </row>
    <row r="80" spans="2:18" x14ac:dyDescent="0.25">
      <c r="C80" s="35"/>
      <c r="H80" s="61"/>
      <c r="I80" s="62"/>
      <c r="J80" s="61"/>
      <c r="L80" s="61"/>
      <c r="M80" s="61"/>
      <c r="N80" s="61"/>
      <c r="Q80" s="61"/>
      <c r="R80" s="61"/>
    </row>
    <row r="81" spans="2:18" x14ac:dyDescent="0.25">
      <c r="C81" s="35"/>
      <c r="H81" s="61"/>
      <c r="I81" s="62"/>
      <c r="J81" s="61"/>
      <c r="L81" s="61"/>
      <c r="M81" s="61"/>
      <c r="N81" s="61"/>
      <c r="Q81" s="61"/>
      <c r="R81" s="61"/>
    </row>
    <row r="82" spans="2:18" x14ac:dyDescent="0.25">
      <c r="C82" s="35"/>
      <c r="H82" s="61"/>
      <c r="I82" s="62"/>
      <c r="J82" s="61"/>
      <c r="L82" s="61"/>
      <c r="M82" s="61"/>
      <c r="N82" s="61"/>
      <c r="Q82" s="61"/>
      <c r="R82" s="61"/>
    </row>
    <row r="83" spans="2:18" x14ac:dyDescent="0.25">
      <c r="C83" s="35"/>
      <c r="H83" s="61"/>
      <c r="I83" s="62"/>
      <c r="J83" s="61"/>
      <c r="L83" s="61"/>
      <c r="M83" s="61"/>
      <c r="N83" s="61"/>
      <c r="Q83" s="61"/>
      <c r="R83" s="61"/>
    </row>
    <row r="84" spans="2:18" x14ac:dyDescent="0.25">
      <c r="C84" s="35"/>
      <c r="H84" s="61"/>
      <c r="I84" s="62"/>
      <c r="J84" s="61"/>
      <c r="L84" s="61"/>
      <c r="M84" s="61"/>
      <c r="N84" s="61"/>
      <c r="Q84" s="61"/>
      <c r="R84" s="61"/>
    </row>
    <row r="85" spans="2:18" x14ac:dyDescent="0.25">
      <c r="C85" s="35"/>
      <c r="H85" s="61"/>
      <c r="I85" s="62"/>
      <c r="J85" s="61"/>
      <c r="L85" s="61"/>
      <c r="M85" s="61"/>
      <c r="N85" s="61"/>
      <c r="Q85" s="61"/>
      <c r="R85" s="61"/>
    </row>
    <row r="86" spans="2:18" x14ac:dyDescent="0.25">
      <c r="C86" s="35"/>
      <c r="H86" s="61"/>
      <c r="I86" s="62"/>
      <c r="J86" s="61"/>
      <c r="L86" s="61"/>
      <c r="M86" s="61"/>
      <c r="N86" s="61"/>
      <c r="Q86" s="61"/>
      <c r="R86" s="61"/>
    </row>
    <row r="87" spans="2:18" x14ac:dyDescent="0.25">
      <c r="C87" s="35"/>
      <c r="H87" s="61"/>
      <c r="I87" s="62"/>
      <c r="J87" s="61"/>
      <c r="L87" s="61"/>
      <c r="M87" s="61"/>
      <c r="N87" s="61"/>
      <c r="Q87" s="61"/>
      <c r="R87" s="61"/>
    </row>
    <row r="88" spans="2:18" x14ac:dyDescent="0.25">
      <c r="C88" s="35"/>
      <c r="H88" s="61"/>
      <c r="I88" s="62"/>
      <c r="J88" s="61"/>
      <c r="L88" s="61"/>
      <c r="M88" s="61"/>
      <c r="N88" s="61"/>
      <c r="Q88" s="61"/>
      <c r="R88" s="61"/>
    </row>
    <row r="89" spans="2:18" x14ac:dyDescent="0.25">
      <c r="C89" s="35"/>
      <c r="H89" s="61"/>
      <c r="I89" s="62"/>
      <c r="J89" s="61"/>
      <c r="L89" s="61"/>
      <c r="M89" s="61"/>
      <c r="N89" s="61"/>
      <c r="Q89" s="61"/>
      <c r="R89" s="61"/>
    </row>
    <row r="90" spans="2:18" x14ac:dyDescent="0.25">
      <c r="C90" s="35"/>
      <c r="H90" s="61"/>
      <c r="I90" s="62"/>
      <c r="J90" s="61"/>
      <c r="L90" s="61"/>
      <c r="M90" s="61"/>
      <c r="N90" s="61"/>
      <c r="Q90" s="61"/>
      <c r="R90" s="61"/>
    </row>
    <row r="91" spans="2:18" x14ac:dyDescent="0.25">
      <c r="B91" s="35" t="str">
        <f>IF(Lang="Français","Textes pour les listes déroulantes et graphiques :",IF(Lang="English","Texts for drop-down lists &amp; graphics :",""))</f>
        <v>Textes pour les listes déroulantes et graphiques :</v>
      </c>
      <c r="H91" s="61"/>
      <c r="I91" s="62"/>
      <c r="J91" s="61"/>
      <c r="L91" s="61"/>
      <c r="M91" s="61"/>
      <c r="N91" s="61"/>
      <c r="Q91" s="61"/>
      <c r="R91" s="61"/>
    </row>
    <row r="92" spans="2:18" x14ac:dyDescent="0.25">
      <c r="H92" s="61"/>
      <c r="I92" s="62"/>
      <c r="J92" s="61"/>
      <c r="L92" s="61"/>
      <c r="M92" s="61"/>
      <c r="N92" s="61"/>
      <c r="Q92" s="61"/>
      <c r="R92" s="61"/>
    </row>
    <row r="93" spans="2:18" x14ac:dyDescent="0.25">
      <c r="B93" s="37" t="s">
        <v>1</v>
      </c>
      <c r="H93" s="61"/>
      <c r="I93" s="62"/>
      <c r="J93" s="61"/>
      <c r="L93" s="61"/>
      <c r="M93" s="61"/>
      <c r="N93" s="61"/>
      <c r="Q93" s="61"/>
      <c r="R93" s="61"/>
    </row>
    <row r="94" spans="2:18" x14ac:dyDescent="0.25">
      <c r="B94" s="63" t="s">
        <v>68</v>
      </c>
      <c r="H94" s="61"/>
      <c r="I94" s="62"/>
      <c r="J94" s="61"/>
      <c r="L94" s="61"/>
      <c r="M94" s="61"/>
      <c r="N94" s="61"/>
      <c r="Q94" s="61"/>
      <c r="R94" s="61"/>
    </row>
    <row r="95" spans="2:18" x14ac:dyDescent="0.25">
      <c r="B95" s="63"/>
      <c r="H95" s="61"/>
      <c r="I95" s="62"/>
      <c r="J95" s="61"/>
      <c r="L95" s="61"/>
      <c r="M95" s="61"/>
      <c r="N95" s="61"/>
      <c r="Q95" s="61"/>
      <c r="R95" s="61"/>
    </row>
    <row r="96" spans="2:18" x14ac:dyDescent="0.25">
      <c r="B96" s="37" t="str">
        <f>IF(Lang="Français","Fusée à eau  ",IF(Lang="English","Water-rocket  ",""))</f>
        <v xml:space="preserve">Fusée à eau  </v>
      </c>
      <c r="H96" s="61"/>
      <c r="I96" s="62"/>
      <c r="J96" s="61"/>
      <c r="L96" s="61"/>
      <c r="M96" s="61"/>
      <c r="N96" s="61"/>
      <c r="Q96" s="61"/>
      <c r="R96" s="61"/>
    </row>
    <row r="97" spans="2:18" x14ac:dyDescent="0.25">
      <c r="B97" s="37" t="str">
        <f>IF(Lang="Français","Microfusée",IF(Lang="English","Micro-rocket",""))</f>
        <v>Microfusée</v>
      </c>
      <c r="H97" s="61"/>
      <c r="I97" s="62"/>
      <c r="J97" s="61"/>
      <c r="L97" s="61"/>
      <c r="M97" s="61"/>
      <c r="N97" s="61"/>
      <c r="Q97" s="61"/>
      <c r="R97" s="61"/>
    </row>
    <row r="98" spans="2:18" x14ac:dyDescent="0.25">
      <c r="B98" s="37" t="str">
        <f>IF(Lang="Français","Minifusée",IF(Lang="English","Mini-rocket",""))</f>
        <v>Minifusée</v>
      </c>
      <c r="H98" s="61"/>
      <c r="I98" s="62"/>
      <c r="J98" s="61"/>
      <c r="L98" s="61"/>
      <c r="M98" s="61"/>
      <c r="N98" s="61"/>
      <c r="Q98" s="61"/>
      <c r="R98" s="61"/>
    </row>
    <row r="99" spans="2:18" x14ac:dyDescent="0.25">
      <c r="B99" s="37" t="s">
        <v>399</v>
      </c>
      <c r="H99" s="61"/>
      <c r="I99" s="62"/>
      <c r="J99" s="61"/>
      <c r="L99" s="61"/>
      <c r="M99" s="61"/>
      <c r="N99" s="61"/>
      <c r="Q99" s="61"/>
      <c r="R99" s="61"/>
    </row>
    <row r="100" spans="2:18" x14ac:dyDescent="0.25">
      <c r="B100" s="37" t="str">
        <f>IF(Lang="Français","Fusée expérimentale.",IF(Lang="English","Experimental Rocket.",""))</f>
        <v>Fusée expérimentale.</v>
      </c>
      <c r="H100" s="61"/>
      <c r="I100" s="62"/>
      <c r="J100" s="61"/>
      <c r="L100" s="61"/>
      <c r="M100" s="61"/>
      <c r="N100" s="61"/>
      <c r="Q100" s="61"/>
      <c r="R100" s="61"/>
    </row>
    <row r="101" spans="2:18" x14ac:dyDescent="0.25">
      <c r="B101" s="37" t="s">
        <v>400</v>
      </c>
      <c r="H101" s="61"/>
      <c r="I101" s="62"/>
      <c r="J101" s="61"/>
      <c r="L101" s="61"/>
      <c r="M101" s="61"/>
      <c r="N101" s="61"/>
      <c r="Q101" s="61"/>
      <c r="R101" s="61"/>
    </row>
    <row r="102" spans="2:18" x14ac:dyDescent="0.25">
      <c r="B102" s="37"/>
      <c r="H102" s="61"/>
      <c r="I102" s="62"/>
      <c r="J102" s="61"/>
      <c r="L102" s="61"/>
      <c r="M102" s="61"/>
      <c r="N102" s="61"/>
      <c r="Q102" s="61"/>
      <c r="R102" s="61"/>
    </row>
    <row r="103" spans="2:18" x14ac:dyDescent="0.25">
      <c r="B103" s="37" t="str">
        <f>IF(Lang="Français","sans propu",IF(Lang="English","without motor",""))</f>
        <v>sans propu</v>
      </c>
      <c r="H103" s="61"/>
      <c r="I103" s="62"/>
      <c r="J103" s="61"/>
      <c r="L103" s="61"/>
      <c r="M103" s="61"/>
      <c r="N103" s="61"/>
      <c r="Q103" s="61"/>
      <c r="R103" s="61"/>
    </row>
    <row r="104" spans="2:18" x14ac:dyDescent="0.25">
      <c r="B104" s="37" t="str">
        <f>IF(Lang="Français","avec propu vide",IF(Lang="English","with empty motor",""))</f>
        <v>avec propu vide</v>
      </c>
      <c r="H104" s="61"/>
      <c r="I104" s="62"/>
      <c r="J104" s="61"/>
      <c r="L104" s="61"/>
      <c r="M104" s="61"/>
      <c r="N104" s="61"/>
      <c r="Q104" s="61"/>
      <c r="R104" s="61"/>
    </row>
    <row r="105" spans="2:18" x14ac:dyDescent="0.25">
      <c r="B105" s="37" t="str">
        <f>IF(Lang="Français","avec propu plein",IF(Lang="English","with loaded motor",""))</f>
        <v>avec propu plein</v>
      </c>
      <c r="H105" s="61"/>
      <c r="I105" s="62"/>
      <c r="J105" s="61"/>
      <c r="L105" s="61"/>
      <c r="M105" s="61"/>
      <c r="N105" s="61"/>
      <c r="Q105" s="61"/>
      <c r="R105" s="61"/>
    </row>
    <row r="106" spans="2:18" x14ac:dyDescent="0.25">
      <c r="B106" s="37"/>
      <c r="H106" s="61"/>
      <c r="I106" s="62"/>
      <c r="J106" s="61"/>
      <c r="L106" s="61"/>
      <c r="M106" s="61"/>
      <c r="N106" s="61"/>
      <c r="Q106" s="61"/>
      <c r="R106" s="61"/>
    </row>
    <row r="107" spans="2:18" x14ac:dyDescent="0.25">
      <c r="B107" s="37" t="str">
        <f>IF(Lang="Français","Parabolique (arrondie)",IF(Lang="English","Parabola (rounded)",""))</f>
        <v>Parabolique (arrondie)</v>
      </c>
      <c r="H107" s="61"/>
      <c r="I107" s="62"/>
      <c r="J107" s="61"/>
      <c r="L107" s="61"/>
      <c r="M107" s="61"/>
      <c r="N107" s="61"/>
      <c r="Q107" s="61"/>
      <c r="R107" s="61"/>
    </row>
    <row r="108" spans="2:18" x14ac:dyDescent="0.25">
      <c r="B108" s="63" t="str">
        <f>IF(Lang="Français","Ogivale (pointue)",IF(Lang="English","Ogive (sharp)",""))</f>
        <v>Ogivale (pointue)</v>
      </c>
      <c r="H108" s="61"/>
      <c r="I108" s="62"/>
      <c r="J108" s="61"/>
      <c r="L108" s="61"/>
      <c r="M108" s="61"/>
      <c r="N108" s="61"/>
      <c r="Q108" s="61"/>
      <c r="R108" s="61"/>
    </row>
    <row r="109" spans="2:18" x14ac:dyDescent="0.25">
      <c r="B109" s="37" t="str">
        <f>IF(Lang="Français","Conique (droite)",IF(Lang="English","Cone (straight)",""))</f>
        <v>Conique (droite)</v>
      </c>
      <c r="H109" s="61"/>
      <c r="I109" s="62"/>
      <c r="J109" s="61"/>
      <c r="L109" s="61"/>
      <c r="M109" s="61"/>
      <c r="N109" s="61"/>
      <c r="Q109" s="61"/>
      <c r="R109" s="61"/>
    </row>
    <row r="110" spans="2:18" x14ac:dyDescent="0.25">
      <c r="B110" s="64"/>
      <c r="H110" s="61"/>
      <c r="I110" s="62"/>
      <c r="J110" s="61"/>
      <c r="L110" s="61"/>
      <c r="M110" s="61"/>
      <c r="N110" s="61"/>
      <c r="Q110" s="61"/>
      <c r="R110" s="61"/>
    </row>
    <row r="111" spans="2:18" x14ac:dyDescent="0.25">
      <c r="B111" s="65" t="s">
        <v>426</v>
      </c>
      <c r="H111" s="61"/>
      <c r="I111" s="62"/>
      <c r="J111" s="61"/>
      <c r="L111" s="61"/>
      <c r="M111" s="61"/>
      <c r="N111" s="61"/>
      <c r="Q111" s="61"/>
      <c r="R111" s="61"/>
    </row>
    <row r="112" spans="2:18" x14ac:dyDescent="0.25">
      <c r="B112" s="65" t="s">
        <v>427</v>
      </c>
      <c r="H112" s="61"/>
      <c r="I112" s="62"/>
      <c r="J112" s="61"/>
      <c r="L112" s="61"/>
      <c r="M112" s="61"/>
      <c r="N112" s="61"/>
      <c r="Q112" s="61"/>
      <c r="R112" s="61"/>
    </row>
    <row r="113" spans="2:18" x14ac:dyDescent="0.25">
      <c r="B113" s="64"/>
      <c r="H113" s="61"/>
      <c r="I113" s="62"/>
      <c r="J113" s="61"/>
      <c r="L113" s="61"/>
      <c r="M113" s="61"/>
      <c r="N113" s="61"/>
      <c r="Q113" s="61"/>
      <c r="R113" s="61"/>
    </row>
    <row r="114" spans="2:18" x14ac:dyDescent="0.25">
      <c r="B114" s="65" t="str">
        <f>IF(Lang="Français","Fusée mono-diamètre,",IF(Lang="English","Mono-diameter rocket,",""))</f>
        <v>Fusée mono-diamètre,</v>
      </c>
      <c r="H114" s="61"/>
      <c r="I114" s="62"/>
      <c r="J114" s="61"/>
      <c r="L114" s="61"/>
      <c r="M114" s="61"/>
      <c r="N114" s="61"/>
      <c r="Q114" s="61"/>
      <c r="R114" s="61"/>
    </row>
    <row r="115" spans="2:18" x14ac:dyDescent="0.25">
      <c r="B115" s="65" t="str">
        <f>IF(Lang="Français","Plusieurs diamètres.",IF(Lang="English","Many diameters rocket.",""))</f>
        <v>Plusieurs diamètres.</v>
      </c>
      <c r="H115" s="61"/>
      <c r="I115" s="62"/>
      <c r="J115" s="61"/>
      <c r="L115" s="61"/>
      <c r="M115" s="61"/>
      <c r="N115" s="61"/>
      <c r="Q115" s="61"/>
      <c r="R115" s="61"/>
    </row>
    <row r="116" spans="2:18" x14ac:dyDescent="0.25">
      <c r="B116" s="65"/>
      <c r="H116" s="61"/>
      <c r="I116" s="62"/>
      <c r="J116" s="61"/>
      <c r="L116" s="61"/>
      <c r="M116" s="61"/>
      <c r="N116" s="61"/>
      <c r="Q116" s="61"/>
      <c r="R116" s="61"/>
    </row>
    <row r="117" spans="2:18" x14ac:dyDescent="0.25">
      <c r="B117" s="261" t="str">
        <f>IF(Lang="Français","Diagramme des critères de stabilité","Stability criterions diagram")</f>
        <v>Diagramme des critères de stabilité</v>
      </c>
      <c r="H117" s="61"/>
      <c r="I117" s="62"/>
      <c r="J117" s="61"/>
      <c r="L117" s="61"/>
      <c r="M117" s="61"/>
      <c r="N117" s="61"/>
      <c r="Q117" s="61"/>
      <c r="R117" s="61"/>
    </row>
    <row r="118" spans="2:18" x14ac:dyDescent="0.25">
      <c r="B118" s="261" t="str">
        <f>IF(Lang="Français","Marge Statique (MS)","Static Margin")</f>
        <v>Marge Statique (MS)</v>
      </c>
      <c r="H118" s="61"/>
      <c r="I118" s="62"/>
      <c r="J118" s="61"/>
      <c r="L118" s="61"/>
      <c r="M118" s="61"/>
      <c r="N118" s="61"/>
      <c r="Q118" s="61"/>
      <c r="R118" s="61"/>
    </row>
    <row r="119" spans="2:18" x14ac:dyDescent="0.25">
      <c r="B119" s="261" t="str">
        <f>IF(Lang="Français","Portance Cnα","Lift Cnα")</f>
        <v>Portance Cnα</v>
      </c>
      <c r="H119" s="61"/>
      <c r="I119" s="62"/>
      <c r="J119" s="61"/>
      <c r="L119" s="61"/>
      <c r="M119" s="61"/>
      <c r="N119" s="61"/>
      <c r="Q119" s="61"/>
      <c r="R119" s="61"/>
    </row>
    <row r="120" spans="2:18" x14ac:dyDescent="0.25">
      <c r="B120" s="65"/>
      <c r="H120" s="61"/>
      <c r="I120" s="62"/>
      <c r="J120" s="61"/>
      <c r="L120" s="61"/>
      <c r="M120" s="61"/>
      <c r="N120" s="61"/>
      <c r="Q120" s="61"/>
      <c r="R120" s="61"/>
    </row>
    <row r="121" spans="2:18" x14ac:dyDescent="0.25">
      <c r="B121" s="35" t="str">
        <f>IF(Lang="Français","Données pour les graphiques :",IF(Lang="English","Data for plots:",""))</f>
        <v>Données pour les graphiques :</v>
      </c>
      <c r="H121" s="61"/>
      <c r="I121" s="62"/>
      <c r="J121" s="61"/>
      <c r="L121" s="61"/>
      <c r="M121" s="61"/>
      <c r="N121" s="61"/>
      <c r="Q121" s="61"/>
      <c r="R121" s="61"/>
    </row>
    <row r="122" spans="2:18" x14ac:dyDescent="0.25">
      <c r="H122" s="61"/>
      <c r="I122" s="62"/>
      <c r="J122" s="61"/>
      <c r="L122" s="61"/>
      <c r="M122" s="61"/>
      <c r="N122" s="61"/>
      <c r="Q122" s="61"/>
      <c r="R122" s="61"/>
    </row>
    <row r="123" spans="2:18" x14ac:dyDescent="0.25">
      <c r="B123" s="66"/>
      <c r="C123" s="66" t="s">
        <v>69</v>
      </c>
      <c r="D123" s="66" t="s">
        <v>70</v>
      </c>
      <c r="E123" s="120" t="s">
        <v>71</v>
      </c>
      <c r="K123" s="66"/>
      <c r="R123" s="61"/>
    </row>
    <row r="124" spans="2:18" x14ac:dyDescent="0.25">
      <c r="B124" s="66" t="s">
        <v>73</v>
      </c>
      <c r="C124" s="67">
        <f>-Long_ogive</f>
        <v>-250</v>
      </c>
      <c r="D124" s="67">
        <v>0</v>
      </c>
      <c r="E124" s="121">
        <f t="shared" ref="E124:E136" si="0">-D124</f>
        <v>0</v>
      </c>
      <c r="K124" s="67"/>
    </row>
    <row r="125" spans="2:18" x14ac:dyDescent="0.25">
      <c r="B125" s="66" t="s">
        <v>73</v>
      </c>
      <c r="C125" s="67">
        <f>-Long_ogive</f>
        <v>-250</v>
      </c>
      <c r="D125" s="67">
        <f>D_og/2</f>
        <v>50</v>
      </c>
      <c r="E125" s="121">
        <f t="shared" si="0"/>
        <v>-50</v>
      </c>
      <c r="K125" s="67"/>
    </row>
    <row r="126" spans="2:18" x14ac:dyDescent="0.25">
      <c r="B126" s="66" t="s">
        <v>74</v>
      </c>
      <c r="C126" s="67">
        <f>IF(AND(RIGHT(Nb_diam,1)=".",X_j), -X_j, C125 )</f>
        <v>-250</v>
      </c>
      <c r="D126" s="67">
        <f>IF(AND(RIGHT(Nb_diam,1)=".",X_j), D1j/2, D125 )</f>
        <v>50</v>
      </c>
      <c r="E126" s="121">
        <f t="shared" si="0"/>
        <v>-50</v>
      </c>
      <c r="K126" s="67"/>
    </row>
    <row r="127" spans="2:18" x14ac:dyDescent="0.25">
      <c r="B127" s="66" t="s">
        <v>75</v>
      </c>
      <c r="C127" s="67">
        <f>IF(AND(RIGHT(Nb_diam,1)=".",X_j), -X_j-l_j, C126 )</f>
        <v>-250</v>
      </c>
      <c r="D127" s="67">
        <f>IF(AND(RIGHT(Nb_diam,1)=".",X_j), D2j/2, D126 )</f>
        <v>50</v>
      </c>
      <c r="E127" s="121">
        <f t="shared" si="0"/>
        <v>-50</v>
      </c>
      <c r="K127" s="67"/>
    </row>
    <row r="128" spans="2:18" x14ac:dyDescent="0.25">
      <c r="B128" s="66" t="s">
        <v>76</v>
      </c>
      <c r="C128" s="67">
        <f>IF(AND(RIGHT(Nb_diam,1)=".",X_r), -X_r, C127 )</f>
        <v>-250</v>
      </c>
      <c r="D128" s="67">
        <f>IF(AND(RIGHT(Nb_diam,1)=".",X_r), D1r/2, D127 )</f>
        <v>50</v>
      </c>
      <c r="E128" s="121">
        <f t="shared" si="0"/>
        <v>-50</v>
      </c>
      <c r="K128" s="67"/>
    </row>
    <row r="129" spans="2:11" x14ac:dyDescent="0.25">
      <c r="B129" s="66" t="s">
        <v>77</v>
      </c>
      <c r="C129" s="67">
        <f>IF(AND(RIGHT(Nb_diam,1)=".",X_r), -X_r-l_r, C128 )</f>
        <v>-250</v>
      </c>
      <c r="D129" s="67">
        <f>IF(AND(RIGHT(Nb_diam,1)=".",X_r), D2r/2, D128 )</f>
        <v>50</v>
      </c>
      <c r="E129" s="121">
        <f t="shared" si="0"/>
        <v>-50</v>
      </c>
      <c r="K129" s="67"/>
    </row>
    <row r="130" spans="2:11" x14ac:dyDescent="0.25">
      <c r="B130" s="66" t="s">
        <v>78</v>
      </c>
      <c r="C130" s="67">
        <f>-Long_tot</f>
        <v>-1800</v>
      </c>
      <c r="D130" s="67">
        <f>D129</f>
        <v>50</v>
      </c>
      <c r="E130" s="121">
        <f t="shared" si="0"/>
        <v>-50</v>
      </c>
      <c r="K130" s="67"/>
    </row>
    <row r="131" spans="2:11" x14ac:dyDescent="0.25">
      <c r="B131" s="66" t="s">
        <v>78</v>
      </c>
      <c r="C131" s="67">
        <f>-Long_tot</f>
        <v>-1800</v>
      </c>
      <c r="D131" s="67">
        <v>0</v>
      </c>
      <c r="E131" s="121">
        <f t="shared" si="0"/>
        <v>0</v>
      </c>
      <c r="K131" s="67"/>
    </row>
    <row r="132" spans="2:11" x14ac:dyDescent="0.25">
      <c r="B132" s="217" t="s">
        <v>79</v>
      </c>
      <c r="C132" s="231">
        <f>-X_ail+m_ail</f>
        <v>-1550</v>
      </c>
      <c r="D132" s="231">
        <f>D_ail/2</f>
        <v>50</v>
      </c>
      <c r="E132" s="232">
        <f t="shared" si="0"/>
        <v>-50</v>
      </c>
      <c r="K132" s="67"/>
    </row>
    <row r="133" spans="2:11" x14ac:dyDescent="0.25">
      <c r="B133" s="219" t="s">
        <v>80</v>
      </c>
      <c r="C133" s="233">
        <f>-X_ail+m_ail-p_ail</f>
        <v>-1750</v>
      </c>
      <c r="D133" s="233">
        <f>D_ail/2+E_ail</f>
        <v>210</v>
      </c>
      <c r="E133" s="234">
        <f t="shared" si="0"/>
        <v>-210</v>
      </c>
      <c r="K133" s="67"/>
    </row>
    <row r="134" spans="2:11" x14ac:dyDescent="0.25">
      <c r="B134" s="219" t="s">
        <v>81</v>
      </c>
      <c r="C134" s="233">
        <f>-X_ail+m_ail-p_ail-n_ail</f>
        <v>-1870</v>
      </c>
      <c r="D134" s="233">
        <f>D_ail/2+E_ail</f>
        <v>210</v>
      </c>
      <c r="E134" s="234">
        <f t="shared" si="0"/>
        <v>-210</v>
      </c>
      <c r="K134" s="67"/>
    </row>
    <row r="135" spans="2:11" x14ac:dyDescent="0.25">
      <c r="B135" s="219" t="s">
        <v>82</v>
      </c>
      <c r="C135" s="233">
        <f>-X_ail</f>
        <v>-1800</v>
      </c>
      <c r="D135" s="233">
        <f>D_ail/2</f>
        <v>50</v>
      </c>
      <c r="E135" s="234">
        <f t="shared" si="0"/>
        <v>-50</v>
      </c>
      <c r="K135" s="67"/>
    </row>
    <row r="136" spans="2:11" x14ac:dyDescent="0.25">
      <c r="B136" s="221" t="s">
        <v>79</v>
      </c>
      <c r="C136" s="235">
        <f>-X_ail+m_ail</f>
        <v>-1550</v>
      </c>
      <c r="D136" s="235">
        <f>D_ail/2</f>
        <v>50</v>
      </c>
      <c r="E136" s="236">
        <f t="shared" si="0"/>
        <v>-50</v>
      </c>
      <c r="K136" s="67"/>
    </row>
    <row r="137" spans="2:11" x14ac:dyDescent="0.25">
      <c r="B137" s="226" t="str">
        <f>IF(E_ail&gt;0,IF(Lang="Français","Envergure","Span"),"")</f>
        <v>Envergure</v>
      </c>
      <c r="C137" s="231">
        <f>MIN(-X_ail,-X_ail+m_ail-p_ail-n_ail)-Long_tot/30</f>
        <v>-1930</v>
      </c>
      <c r="D137" s="242">
        <f>-D_ail/2-E_ail</f>
        <v>-210</v>
      </c>
      <c r="E137" s="247"/>
      <c r="K137" s="67"/>
    </row>
    <row r="138" spans="2:11" x14ac:dyDescent="0.25">
      <c r="B138" s="229" t="s">
        <v>167</v>
      </c>
      <c r="C138" s="233">
        <f>MIN(-X_ail,-X_ail+m_ail-p_ail-n_ail)-Long_tot/30</f>
        <v>-1930</v>
      </c>
      <c r="D138" s="243">
        <f>-D_ail/2-E_ail/2</f>
        <v>-130</v>
      </c>
      <c r="E138" s="247"/>
      <c r="K138" s="67"/>
    </row>
    <row r="139" spans="2:11" x14ac:dyDescent="0.25">
      <c r="B139" s="248" t="s">
        <v>163</v>
      </c>
      <c r="C139" s="235">
        <f>MIN(-X_ail,-X_ail+m_ail-p_ail-n_ail)-Long_tot/30</f>
        <v>-1930</v>
      </c>
      <c r="D139" s="244">
        <f>-D_ail/2</f>
        <v>-50</v>
      </c>
      <c r="E139" s="247"/>
      <c r="K139" s="67"/>
    </row>
    <row r="140" spans="2:11" x14ac:dyDescent="0.25">
      <c r="B140" s="226" t="str">
        <f>IF(Lang="Français","Emplanture","Root edge")</f>
        <v>Emplanture</v>
      </c>
      <c r="C140" s="231">
        <f>-X_ail+m_ail</f>
        <v>-1550</v>
      </c>
      <c r="D140" s="242">
        <f>D_ail/2+E_ail+Long_tot/20</f>
        <v>300</v>
      </c>
      <c r="E140" s="247"/>
      <c r="K140" s="67"/>
    </row>
    <row r="141" spans="2:11" x14ac:dyDescent="0.25">
      <c r="B141" s="229" t="s">
        <v>169</v>
      </c>
      <c r="C141" s="233">
        <f>-X_ail+m_ail/2</f>
        <v>-1675</v>
      </c>
      <c r="D141" s="243">
        <f>D_ail/2+E_ail+Long_tot/20</f>
        <v>300</v>
      </c>
      <c r="E141" s="247"/>
      <c r="K141" s="67"/>
    </row>
    <row r="142" spans="2:11" x14ac:dyDescent="0.25">
      <c r="B142" s="248" t="s">
        <v>170</v>
      </c>
      <c r="C142" s="235">
        <f>-X_ail</f>
        <v>-1800</v>
      </c>
      <c r="D142" s="244">
        <f>D_ail/2+E_ail+Long_tot/20</f>
        <v>300</v>
      </c>
      <c r="E142" s="247"/>
      <c r="K142" s="67"/>
    </row>
    <row r="143" spans="2:11" x14ac:dyDescent="0.25">
      <c r="B143" s="226" t="str">
        <f>IF(p_ail&lt;&gt;0,IF(Lang="Français","Flèche","Offset"),"")</f>
        <v>Flèche</v>
      </c>
      <c r="C143" s="231">
        <f>-X_ail+m_ail</f>
        <v>-1550</v>
      </c>
      <c r="D143" s="242">
        <f>-D_ail/2-E_ail-Long_tot/30</f>
        <v>-270</v>
      </c>
      <c r="E143" s="247"/>
      <c r="K143" s="67"/>
    </row>
    <row r="144" spans="2:11" x14ac:dyDescent="0.25">
      <c r="B144" s="229" t="s">
        <v>166</v>
      </c>
      <c r="C144" s="233">
        <f>-X_ail+m_ail-p_ail/2</f>
        <v>-1650</v>
      </c>
      <c r="D144" s="243">
        <f>-D_ail/2-E_ail-Long_tot/30</f>
        <v>-270</v>
      </c>
      <c r="E144" s="247"/>
      <c r="K144" s="67"/>
    </row>
    <row r="145" spans="2:11" x14ac:dyDescent="0.25">
      <c r="B145" s="248" t="s">
        <v>164</v>
      </c>
      <c r="C145" s="235">
        <f>-X_ail+m_ail-p_ail</f>
        <v>-1750</v>
      </c>
      <c r="D145" s="244">
        <f>-D_ail/2-E_ail-Long_tot/30</f>
        <v>-270</v>
      </c>
      <c r="E145" s="247"/>
      <c r="K145" s="67"/>
    </row>
    <row r="146" spans="2:11" x14ac:dyDescent="0.25">
      <c r="B146" s="226" t="str">
        <f>IF(n_ail&gt;0,IF(Lang="Français","Saumon","Tip edge"),"")</f>
        <v>Saumon</v>
      </c>
      <c r="C146" s="231">
        <f>-X_ail+m_ail-p_ail</f>
        <v>-1750</v>
      </c>
      <c r="D146" s="242">
        <f>-D_ail/2-E_ail-Long_tot/20</f>
        <v>-300</v>
      </c>
      <c r="E146" s="247"/>
      <c r="K146" s="67"/>
    </row>
    <row r="147" spans="2:11" x14ac:dyDescent="0.25">
      <c r="B147" s="229" t="s">
        <v>168</v>
      </c>
      <c r="C147" s="233">
        <f>-X_ail+m_ail-p_ail-n_ail/2</f>
        <v>-1810</v>
      </c>
      <c r="D147" s="243">
        <f>-D_ail/2-E_ail-Long_tot/20</f>
        <v>-300</v>
      </c>
      <c r="E147" s="247"/>
      <c r="K147" s="67"/>
    </row>
    <row r="148" spans="2:11" x14ac:dyDescent="0.25">
      <c r="B148" s="248" t="s">
        <v>165</v>
      </c>
      <c r="C148" s="235">
        <f>-X_ail+m_ail-p_ail-n_ail</f>
        <v>-1870</v>
      </c>
      <c r="D148" s="244">
        <f>-D_ail/2-E_ail-Long_tot/20</f>
        <v>-300</v>
      </c>
      <c r="E148" s="247"/>
      <c r="K148" s="67"/>
    </row>
    <row r="149" spans="2:11" x14ac:dyDescent="0.25">
      <c r="B149" s="217" t="s">
        <v>83</v>
      </c>
      <c r="C149" s="231">
        <f ca="1">-XcgPlein</f>
        <v>-1257.0239788985693</v>
      </c>
      <c r="D149" s="242">
        <v>0</v>
      </c>
      <c r="E149" s="121"/>
      <c r="K149" s="67"/>
    </row>
    <row r="150" spans="2:11" x14ac:dyDescent="0.25">
      <c r="B150" s="221" t="s">
        <v>84</v>
      </c>
      <c r="C150" s="235">
        <f ca="1">-XcgVide</f>
        <v>-1204.2081218274111</v>
      </c>
      <c r="D150" s="244">
        <v>0</v>
      </c>
      <c r="E150" s="121"/>
      <c r="K150" s="67"/>
    </row>
    <row r="151" spans="2:11" x14ac:dyDescent="0.25">
      <c r="B151" s="217" t="s">
        <v>85</v>
      </c>
      <c r="C151" s="231">
        <f>-XCp</f>
        <v>-1545.0398991779564</v>
      </c>
      <c r="D151" s="242">
        <v>0</v>
      </c>
      <c r="E151" s="121"/>
      <c r="K151" s="67"/>
    </row>
    <row r="152" spans="2:11" x14ac:dyDescent="0.25">
      <c r="B152" s="221" t="s">
        <v>85</v>
      </c>
      <c r="C152" s="235">
        <f>-XCp</f>
        <v>-1545.0398991779564</v>
      </c>
      <c r="D152" s="244">
        <f>Cn*D_ref/CritCnmin</f>
        <v>148.02052364697087</v>
      </c>
      <c r="E152" s="121"/>
      <c r="K152" s="67"/>
    </row>
    <row r="153" spans="2:11" x14ac:dyDescent="0.25">
      <c r="B153" s="219" t="s">
        <v>424</v>
      </c>
      <c r="C153" s="233">
        <f>-XCp0</f>
        <v>-1545.0398991779564</v>
      </c>
      <c r="D153" s="243">
        <f>Cn0*D_ref/CritCnmin</f>
        <v>148.02052364697087</v>
      </c>
      <c r="E153" s="121"/>
      <c r="K153" s="67"/>
    </row>
    <row r="154" spans="2:11" x14ac:dyDescent="0.25">
      <c r="B154" s="219" t="s">
        <v>424</v>
      </c>
      <c r="C154" s="233">
        <f>-XCp0</f>
        <v>-1545.0398991779564</v>
      </c>
      <c r="D154" s="243">
        <v>0</v>
      </c>
      <c r="E154" s="121"/>
      <c r="K154" s="67"/>
    </row>
    <row r="155" spans="2:11" x14ac:dyDescent="0.25">
      <c r="B155" s="226" t="str">
        <f>IF(n_ail&gt;0,IF(Lang="Français","Marge Statique","Static Margin"),"")</f>
        <v>Marge Statique</v>
      </c>
      <c r="C155" s="231">
        <f ca="1">(-XcgPlein-XcgVide)/2</f>
        <v>-1230.6160503629903</v>
      </c>
      <c r="D155" s="242">
        <f>-D_ail/2-E_ail-Long_tot/20</f>
        <v>-300</v>
      </c>
      <c r="E155" s="121"/>
      <c r="K155" s="67"/>
    </row>
    <row r="156" spans="2:11" x14ac:dyDescent="0.25">
      <c r="B156" s="229" t="s">
        <v>171</v>
      </c>
      <c r="C156" s="233">
        <f ca="1">(C155+C157)/2</f>
        <v>-1387.8279747704732</v>
      </c>
      <c r="D156" s="243">
        <f>-D_ail/2-E_ail-Long_tot/20</f>
        <v>-300</v>
      </c>
      <c r="E156" s="121"/>
      <c r="K156" s="67"/>
    </row>
    <row r="157" spans="2:11" x14ac:dyDescent="0.25">
      <c r="B157" s="248" t="s">
        <v>172</v>
      </c>
      <c r="C157" s="235">
        <f>-XCp</f>
        <v>-1545.0398991779564</v>
      </c>
      <c r="D157" s="244">
        <f>-D_ail/2-E_ail-Long_tot/20</f>
        <v>-300</v>
      </c>
      <c r="E157" s="121"/>
      <c r="K157" s="67"/>
    </row>
    <row r="158" spans="2:11" x14ac:dyDescent="0.25">
      <c r="B158" s="217" t="s">
        <v>86</v>
      </c>
      <c r="C158" s="231">
        <f>IF(LEFT(Type_masquage,1)="M",0,-X_can+m_can)</f>
        <v>0</v>
      </c>
      <c r="D158" s="231">
        <f>IF(LEFT(Type_masquage,1)="M",0,D_ail/2)</f>
        <v>0</v>
      </c>
      <c r="E158" s="232">
        <f t="shared" ref="E158:E167" si="1">-D158</f>
        <v>0</v>
      </c>
      <c r="K158" s="67"/>
    </row>
    <row r="159" spans="2:11" x14ac:dyDescent="0.25">
      <c r="B159" s="219" t="s">
        <v>87</v>
      </c>
      <c r="C159" s="233">
        <f>IF(LEFT(Type_masquage,1)="M",0,-X_can+m_can-p_can)</f>
        <v>0</v>
      </c>
      <c r="D159" s="233">
        <f>IF(LEFT(Type_masquage,1)="M",0,D_ail/2+E_can)</f>
        <v>0</v>
      </c>
      <c r="E159" s="234">
        <f t="shared" si="1"/>
        <v>0</v>
      </c>
      <c r="K159" s="67"/>
    </row>
    <row r="160" spans="2:11" x14ac:dyDescent="0.25">
      <c r="B160" s="219" t="s">
        <v>88</v>
      </c>
      <c r="C160" s="233">
        <f>IF(LEFT(Type_masquage,1)="M",0,-X_can+m_can-p_can-n_can)</f>
        <v>0</v>
      </c>
      <c r="D160" s="233">
        <f>IF(LEFT(Type_masquage,1)="M",0,D_ail/2+E_can)</f>
        <v>0</v>
      </c>
      <c r="E160" s="234">
        <f t="shared" si="1"/>
        <v>0</v>
      </c>
      <c r="K160" s="67"/>
    </row>
    <row r="161" spans="2:11" x14ac:dyDescent="0.25">
      <c r="B161" s="219" t="s">
        <v>89</v>
      </c>
      <c r="C161" s="233">
        <f>IF(LEFT(Type_masquage,1)="M",0,-X_can)</f>
        <v>0</v>
      </c>
      <c r="D161" s="233">
        <f>IF(LEFT(Type_masquage,1)="M",0,D_ail/2)</f>
        <v>0</v>
      </c>
      <c r="E161" s="234">
        <f t="shared" si="1"/>
        <v>0</v>
      </c>
      <c r="K161" s="67"/>
    </row>
    <row r="162" spans="2:11" x14ac:dyDescent="0.25">
      <c r="B162" s="221" t="s">
        <v>86</v>
      </c>
      <c r="C162" s="235">
        <f>IF(LEFT(Type_masquage,1)="M",0,-X_can+m_can)</f>
        <v>0</v>
      </c>
      <c r="D162" s="235">
        <f>IF(LEFT(Type_masquage,1)="M",0,D_ail/2)</f>
        <v>0</v>
      </c>
      <c r="E162" s="236">
        <f t="shared" si="1"/>
        <v>0</v>
      </c>
      <c r="K162" s="67"/>
    </row>
    <row r="163" spans="2:11" x14ac:dyDescent="0.25">
      <c r="B163" s="217" t="s">
        <v>90</v>
      </c>
      <c r="C163" s="231">
        <f>IF(LEFT(Type_masquage,1)="B",-X_int+m_int,0)</f>
        <v>0</v>
      </c>
      <c r="D163" s="231">
        <f>IF(LEFT(Type_masquage,1)="B",D_int/2,0)</f>
        <v>0</v>
      </c>
      <c r="E163" s="232">
        <f t="shared" si="1"/>
        <v>0</v>
      </c>
      <c r="K163" s="67"/>
    </row>
    <row r="164" spans="2:11" x14ac:dyDescent="0.25">
      <c r="B164" s="219" t="s">
        <v>91</v>
      </c>
      <c r="C164" s="233">
        <f>IF(LEFT(Type_masquage,1)="B",-X_int+m_int-p_int,0)</f>
        <v>0</v>
      </c>
      <c r="D164" s="233">
        <f>IF(LEFT(Type_masquage,1)="B",D_int/2+E_int,0)</f>
        <v>0</v>
      </c>
      <c r="E164" s="234">
        <f t="shared" si="1"/>
        <v>0</v>
      </c>
      <c r="K164" s="67"/>
    </row>
    <row r="165" spans="2:11" x14ac:dyDescent="0.25">
      <c r="B165" s="219" t="s">
        <v>92</v>
      </c>
      <c r="C165" s="233">
        <f>IF(LEFT(Type_masquage,1)="B",-X_int+m_int-p_int-n_int,0)</f>
        <v>0</v>
      </c>
      <c r="D165" s="233">
        <f>IF(LEFT(Type_masquage,1)="B",D_int/2+E_int,0)</f>
        <v>0</v>
      </c>
      <c r="E165" s="234">
        <f t="shared" si="1"/>
        <v>0</v>
      </c>
      <c r="K165" s="67"/>
    </row>
    <row r="166" spans="2:11" x14ac:dyDescent="0.25">
      <c r="B166" s="219" t="s">
        <v>93</v>
      </c>
      <c r="C166" s="233">
        <f>IF(LEFT(Type_masquage,1)="B",-X_int,0)</f>
        <v>0</v>
      </c>
      <c r="D166" s="233">
        <f>IF(LEFT(Type_masquage,1)="B",D_int/2,0)</f>
        <v>0</v>
      </c>
      <c r="E166" s="234">
        <f t="shared" si="1"/>
        <v>0</v>
      </c>
      <c r="K166" s="67"/>
    </row>
    <row r="167" spans="2:11" x14ac:dyDescent="0.25">
      <c r="B167" s="221" t="s">
        <v>90</v>
      </c>
      <c r="C167" s="235">
        <f>IF(LEFT(Type_masquage,1)="B",-X_int+m_int,0)</f>
        <v>0</v>
      </c>
      <c r="D167" s="235">
        <f>IF(LEFT(Type_masquage,1)="B",D_int/2,0)</f>
        <v>0</v>
      </c>
      <c r="E167" s="236">
        <f t="shared" si="1"/>
        <v>0</v>
      </c>
      <c r="K167" s="67"/>
    </row>
    <row r="168" spans="2:11" x14ac:dyDescent="0.25">
      <c r="B168" s="66" t="s">
        <v>94</v>
      </c>
      <c r="C168" s="67">
        <f>-MAX(Long_tot, X_ail-m_ail+p_ail+n_ail, (E_ail+D_ail/2)*3.2)*1.01</f>
        <v>-1888.7</v>
      </c>
      <c r="D168" s="67">
        <f>MAX(E_ail+D_ail/2, Long_tot/3)</f>
        <v>600</v>
      </c>
      <c r="E168" s="121"/>
      <c r="K168" s="67"/>
    </row>
    <row r="169" spans="2:11" x14ac:dyDescent="0.25">
      <c r="B169" s="66" t="s">
        <v>94</v>
      </c>
      <c r="C169" s="67">
        <f>C168</f>
        <v>-1888.7</v>
      </c>
      <c r="D169" s="67">
        <f>-D168</f>
        <v>-600</v>
      </c>
      <c r="E169" s="121"/>
      <c r="K169" s="67"/>
    </row>
    <row r="170" spans="2:11" x14ac:dyDescent="0.25">
      <c r="B170" s="217" t="s">
        <v>95</v>
      </c>
      <c r="C170" s="231">
        <f ca="1">-XpropuRef+Long_propu</f>
        <v>-1314</v>
      </c>
      <c r="D170" s="242">
        <f ca="1">-Diam_propu/2</f>
        <v>-37.5</v>
      </c>
      <c r="E170" s="121"/>
      <c r="K170" s="67"/>
    </row>
    <row r="171" spans="2:11" x14ac:dyDescent="0.25">
      <c r="B171" s="219" t="s">
        <v>96</v>
      </c>
      <c r="C171" s="233">
        <f ca="1">-XpropuRef+Long_propu</f>
        <v>-1314</v>
      </c>
      <c r="D171" s="243">
        <f ca="1">Diam_propu/2</f>
        <v>37.5</v>
      </c>
      <c r="E171" s="121"/>
      <c r="K171" s="67"/>
    </row>
    <row r="172" spans="2:11" x14ac:dyDescent="0.25">
      <c r="B172" s="219" t="s">
        <v>97</v>
      </c>
      <c r="C172" s="233">
        <f>-XpropuRef</f>
        <v>-1800</v>
      </c>
      <c r="D172" s="243">
        <f ca="1">Diam_propu/2</f>
        <v>37.5</v>
      </c>
      <c r="E172" s="121"/>
      <c r="K172" s="67"/>
    </row>
    <row r="173" spans="2:11" x14ac:dyDescent="0.25">
      <c r="B173" s="219" t="s">
        <v>98</v>
      </c>
      <c r="C173" s="233">
        <f>-XpropuRef</f>
        <v>-1800</v>
      </c>
      <c r="D173" s="243">
        <f ca="1">-Diam_propu/2</f>
        <v>-37.5</v>
      </c>
      <c r="E173" s="121"/>
      <c r="K173" s="67"/>
    </row>
    <row r="174" spans="2:11" x14ac:dyDescent="0.25">
      <c r="B174" s="221" t="s">
        <v>99</v>
      </c>
      <c r="C174" s="235">
        <f ca="1">-XpropuRef+Long_propu</f>
        <v>-1314</v>
      </c>
      <c r="D174" s="244">
        <f ca="1">-Diam_propu/2</f>
        <v>-37.5</v>
      </c>
      <c r="E174" s="121"/>
      <c r="F174" s="226" t="s">
        <v>160</v>
      </c>
      <c r="G174" s="227" t="s">
        <v>161</v>
      </c>
      <c r="H174" s="228" t="s">
        <v>162</v>
      </c>
      <c r="K174" s="67"/>
    </row>
    <row r="175" spans="2:11" x14ac:dyDescent="0.25">
      <c r="B175" s="217" t="s">
        <v>72</v>
      </c>
      <c r="C175" s="231">
        <v>0</v>
      </c>
      <c r="D175" s="231">
        <v>0</v>
      </c>
      <c r="E175" s="232">
        <f t="shared" ref="E175:E180" si="2">-D175</f>
        <v>0</v>
      </c>
      <c r="F175" s="229">
        <v>0</v>
      </c>
      <c r="G175" s="214">
        <v>0</v>
      </c>
      <c r="H175" s="223">
        <v>0</v>
      </c>
      <c r="K175" s="67"/>
    </row>
    <row r="176" spans="2:11" x14ac:dyDescent="0.25">
      <c r="B176" s="219" t="s">
        <v>73</v>
      </c>
      <c r="C176" s="233">
        <f>-Long_ogive*0.1</f>
        <v>-25</v>
      </c>
      <c r="D176" s="233">
        <f>IF(LEFT(Forme_ogive,5)="Parab",H176,IF(LEFT(Forme_ogive,4)="Ogiv",G176,IF(LEFT(Forme_ogive,3)="Con",F176)))</f>
        <v>10</v>
      </c>
      <c r="E176" s="234">
        <f t="shared" si="2"/>
        <v>-10</v>
      </c>
      <c r="F176" s="219">
        <f>D_og/2*0.1</f>
        <v>5</v>
      </c>
      <c r="G176" s="214">
        <f>D_og/2*0.2</f>
        <v>10</v>
      </c>
      <c r="H176" s="223">
        <f>D_og/2*0.5</f>
        <v>25</v>
      </c>
      <c r="K176" s="67"/>
    </row>
    <row r="177" spans="2:11" x14ac:dyDescent="0.25">
      <c r="B177" s="219" t="s">
        <v>73</v>
      </c>
      <c r="C177" s="233">
        <f>-Long_ogive/4</f>
        <v>-62.5</v>
      </c>
      <c r="D177" s="233">
        <f>IF(LEFT(Forme_ogive,5)="Parab",H177,IF(LEFT(Forme_ogive,4)="Ogiv",G177,IF(LEFT(Forme_ogive,3)="Con",F177)))</f>
        <v>25</v>
      </c>
      <c r="E177" s="234">
        <f t="shared" si="2"/>
        <v>-25</v>
      </c>
      <c r="F177" s="219">
        <f>D_og/2*1/4</f>
        <v>12.5</v>
      </c>
      <c r="G177" s="214">
        <f>D_og/2/2</f>
        <v>25</v>
      </c>
      <c r="H177" s="223">
        <f>D_og/2*0.7</f>
        <v>35</v>
      </c>
      <c r="K177" s="67"/>
    </row>
    <row r="178" spans="2:11" x14ac:dyDescent="0.25">
      <c r="B178" s="219" t="s">
        <v>73</v>
      </c>
      <c r="C178" s="233">
        <f>-Long_ogive/2</f>
        <v>-125</v>
      </c>
      <c r="D178" s="233">
        <f>IF(LEFT(Forme_ogive,5)="Parab",H178,IF(LEFT(Forme_ogive,4)="Ogiv",G178,IF(LEFT(Forme_ogive,3)="Con",F178)))</f>
        <v>37.5</v>
      </c>
      <c r="E178" s="234">
        <f t="shared" si="2"/>
        <v>-37.5</v>
      </c>
      <c r="F178" s="219">
        <f>D_og/2/2</f>
        <v>25</v>
      </c>
      <c r="G178" s="214">
        <f>D_og/2*3/4</f>
        <v>37.5</v>
      </c>
      <c r="H178" s="223">
        <f>D_og/2*0.88</f>
        <v>44</v>
      </c>
      <c r="K178" s="67"/>
    </row>
    <row r="179" spans="2:11" x14ac:dyDescent="0.25">
      <c r="B179" s="219" t="s">
        <v>73</v>
      </c>
      <c r="C179" s="233">
        <f>-Long_ogive*3/4</f>
        <v>-187.5</v>
      </c>
      <c r="D179" s="233">
        <f>IF(LEFT(Forme_ogive,5)="Parab",H179,IF(LEFT(Forme_ogive,4)="Ogiv",G179,IF(LEFT(Forme_ogive,3)="Con",F179)))</f>
        <v>45</v>
      </c>
      <c r="E179" s="234">
        <f t="shared" si="2"/>
        <v>-45</v>
      </c>
      <c r="F179" s="219">
        <f>D_og/2*3/4</f>
        <v>37.5</v>
      </c>
      <c r="G179" s="214">
        <f>D_og/2*0.9</f>
        <v>45</v>
      </c>
      <c r="H179" s="223">
        <f>D_og/2*0.95</f>
        <v>47.5</v>
      </c>
      <c r="K179" s="67"/>
    </row>
    <row r="180" spans="2:11" x14ac:dyDescent="0.25">
      <c r="B180" s="221" t="s">
        <v>73</v>
      </c>
      <c r="C180" s="235">
        <f>-Long_ogive</f>
        <v>-250</v>
      </c>
      <c r="D180" s="235">
        <f>D_og/2</f>
        <v>50</v>
      </c>
      <c r="E180" s="236">
        <f t="shared" si="2"/>
        <v>-50</v>
      </c>
      <c r="F180" s="221">
        <f>D_og/2</f>
        <v>50</v>
      </c>
      <c r="G180" s="230">
        <f>D_og/2</f>
        <v>50</v>
      </c>
      <c r="H180" s="224">
        <f>D_og/2</f>
        <v>50</v>
      </c>
      <c r="K180" s="56"/>
    </row>
    <row r="181" spans="2:11" x14ac:dyDescent="0.25">
      <c r="B181" s="66" t="s">
        <v>100</v>
      </c>
      <c r="C181" s="66" t="s">
        <v>101</v>
      </c>
      <c r="D181" s="217" t="s">
        <v>100</v>
      </c>
      <c r="E181" s="239" t="s">
        <v>101</v>
      </c>
      <c r="K181" s="66"/>
    </row>
    <row r="182" spans="2:11" x14ac:dyDescent="0.25">
      <c r="B182" s="217">
        <v>0</v>
      </c>
      <c r="C182" s="237">
        <f>CritCnmin</f>
        <v>15</v>
      </c>
      <c r="D182" s="219">
        <v>0.5</v>
      </c>
      <c r="E182" s="240">
        <f t="shared" ref="E182:E187" si="3">CritMsCnmin/D182</f>
        <v>80</v>
      </c>
      <c r="K182" s="66"/>
    </row>
    <row r="183" spans="2:11" x14ac:dyDescent="0.25">
      <c r="B183" s="221">
        <v>7</v>
      </c>
      <c r="C183" s="230">
        <f>CritCnmin</f>
        <v>15</v>
      </c>
      <c r="D183" s="219">
        <v>1</v>
      </c>
      <c r="E183" s="240">
        <f t="shared" si="3"/>
        <v>40</v>
      </c>
      <c r="K183" s="66"/>
    </row>
    <row r="184" spans="2:11" x14ac:dyDescent="0.25">
      <c r="B184" s="217">
        <v>0</v>
      </c>
      <c r="C184" s="237">
        <f>CritCnmax</f>
        <v>40</v>
      </c>
      <c r="D184" s="219">
        <v>2</v>
      </c>
      <c r="E184" s="240">
        <f t="shared" si="3"/>
        <v>20</v>
      </c>
      <c r="K184" s="66"/>
    </row>
    <row r="185" spans="2:11" x14ac:dyDescent="0.25">
      <c r="B185" s="221">
        <v>7</v>
      </c>
      <c r="C185" s="230">
        <f>CritCnmax</f>
        <v>40</v>
      </c>
      <c r="D185" s="219">
        <v>3</v>
      </c>
      <c r="E185" s="240">
        <f t="shared" si="3"/>
        <v>13.333333333333334</v>
      </c>
      <c r="K185" s="66"/>
    </row>
    <row r="186" spans="2:11" x14ac:dyDescent="0.25">
      <c r="B186" s="217">
        <f>CritMsmin</f>
        <v>2</v>
      </c>
      <c r="C186" s="237">
        <v>0</v>
      </c>
      <c r="D186" s="219">
        <v>5</v>
      </c>
      <c r="E186" s="240">
        <f t="shared" si="3"/>
        <v>8</v>
      </c>
      <c r="K186" s="66"/>
    </row>
    <row r="187" spans="2:11" x14ac:dyDescent="0.25">
      <c r="B187" s="221">
        <f>CritMsmin</f>
        <v>2</v>
      </c>
      <c r="C187" s="230">
        <v>55</v>
      </c>
      <c r="D187" s="219">
        <v>7</v>
      </c>
      <c r="E187" s="240">
        <f t="shared" si="3"/>
        <v>5.7142857142857144</v>
      </c>
      <c r="K187" s="66"/>
    </row>
    <row r="188" spans="2:11" x14ac:dyDescent="0.25">
      <c r="B188" s="217">
        <f>CritMsmax</f>
        <v>6</v>
      </c>
      <c r="C188" s="237">
        <v>0</v>
      </c>
      <c r="D188" s="219">
        <v>1</v>
      </c>
      <c r="E188" s="240">
        <f t="shared" ref="E188:E193" si="4">CritMsCnmax/D188</f>
        <v>100</v>
      </c>
      <c r="K188" s="66"/>
    </row>
    <row r="189" spans="2:11" x14ac:dyDescent="0.25">
      <c r="B189" s="221">
        <f>CritMsmax</f>
        <v>6</v>
      </c>
      <c r="C189" s="230">
        <v>55</v>
      </c>
      <c r="D189" s="219">
        <v>2</v>
      </c>
      <c r="E189" s="240">
        <f t="shared" si="4"/>
        <v>50</v>
      </c>
      <c r="K189" s="66"/>
    </row>
    <row r="190" spans="2:11" x14ac:dyDescent="0.25">
      <c r="B190" s="225">
        <f ca="1">MS_min</f>
        <v>2.8801592027938705</v>
      </c>
      <c r="C190" s="238">
        <f>Cn</f>
        <v>22.203078547045632</v>
      </c>
      <c r="D190" s="219">
        <v>3</v>
      </c>
      <c r="E190" s="240">
        <f t="shared" si="4"/>
        <v>33.333333333333336</v>
      </c>
      <c r="K190" s="66"/>
    </row>
    <row r="191" spans="2:11" x14ac:dyDescent="0.25">
      <c r="B191" s="601">
        <f ca="1">(XCp0-XcgPlein)/D_ref</f>
        <v>2.8801592027938705</v>
      </c>
      <c r="C191" s="602">
        <f>Cn0</f>
        <v>22.203078547045632</v>
      </c>
      <c r="D191" s="219">
        <v>4</v>
      </c>
      <c r="E191" s="240">
        <f t="shared" si="4"/>
        <v>25</v>
      </c>
      <c r="K191" s="66"/>
    </row>
    <row r="192" spans="2:11" x14ac:dyDescent="0.25">
      <c r="B192" s="601">
        <f ca="1">(XCp0-XcgVide)/D_ref</f>
        <v>3.4083177735054528</v>
      </c>
      <c r="C192" s="602">
        <f>Cn0</f>
        <v>22.203078547045632</v>
      </c>
      <c r="D192" s="219">
        <v>6</v>
      </c>
      <c r="E192" s="240">
        <f t="shared" si="4"/>
        <v>16.666666666666668</v>
      </c>
      <c r="K192" s="66"/>
    </row>
    <row r="193" spans="2:11" x14ac:dyDescent="0.25">
      <c r="B193" s="601">
        <f ca="1">(XCp-XcgVide)/D_ref</f>
        <v>3.4083177735054528</v>
      </c>
      <c r="C193" s="602">
        <f>Cn</f>
        <v>22.203078547045632</v>
      </c>
      <c r="D193" s="221">
        <v>7</v>
      </c>
      <c r="E193" s="241">
        <f t="shared" si="4"/>
        <v>14.285714285714286</v>
      </c>
      <c r="K193" s="66"/>
    </row>
    <row r="194" spans="2:11" x14ac:dyDescent="0.25">
      <c r="B194" s="601">
        <f ca="1">MS_min</f>
        <v>2.8801592027938705</v>
      </c>
      <c r="C194" s="603">
        <f>Cn</f>
        <v>22.203078547045632</v>
      </c>
      <c r="D194" s="214"/>
      <c r="E194" s="604"/>
      <c r="K194" s="66"/>
    </row>
    <row r="195" spans="2:11" x14ac:dyDescent="0.25">
      <c r="B195" s="217">
        <v>0</v>
      </c>
      <c r="C195" s="237">
        <f>(CritCnmin+CritCnmax)/2</f>
        <v>27.5</v>
      </c>
      <c r="D195" s="56"/>
      <c r="E195" s="122"/>
      <c r="K195" s="56"/>
    </row>
    <row r="196" spans="2:11" x14ac:dyDescent="0.25">
      <c r="B196" s="219">
        <f>MAX(CritMsmin,CritMsCnmin/C196)</f>
        <v>2</v>
      </c>
      <c r="C196" s="214">
        <f>(CritCnmin+CritCnmax)/2</f>
        <v>27.5</v>
      </c>
      <c r="D196" s="56"/>
      <c r="E196" s="122"/>
      <c r="K196" s="56"/>
    </row>
    <row r="197" spans="2:11" x14ac:dyDescent="0.25">
      <c r="B197" s="219">
        <f>MIN(CritMsmax,CritMsCnmax/C197)</f>
        <v>3.6363636363636362</v>
      </c>
      <c r="C197" s="223">
        <f>(CritCnmin+CritCnmax)/2</f>
        <v>27.5</v>
      </c>
    </row>
    <row r="198" spans="2:11" x14ac:dyDescent="0.25">
      <c r="B198" s="221">
        <v>7</v>
      </c>
      <c r="C198" s="224">
        <f>(CritCnmin+CritCnmax)/2</f>
        <v>27.5</v>
      </c>
    </row>
    <row r="199" spans="2:11" x14ac:dyDescent="0.25">
      <c r="B199" s="217">
        <f>(CritMsmin+CritMsmax)/2</f>
        <v>4</v>
      </c>
      <c r="C199" s="218">
        <v>0</v>
      </c>
    </row>
    <row r="200" spans="2:11" x14ac:dyDescent="0.25">
      <c r="B200" s="219">
        <f>(CritMsmin+CritMsmax)/2</f>
        <v>4</v>
      </c>
      <c r="C200" s="220">
        <f>MAX(CritCnmin,CritMsCnmin/B200)</f>
        <v>15</v>
      </c>
    </row>
    <row r="201" spans="2:11" x14ac:dyDescent="0.25">
      <c r="B201" s="219">
        <f>(CritMsmin+CritMsmax)/2</f>
        <v>4</v>
      </c>
      <c r="C201" s="220">
        <f>MIN(CritCnmax,CritMsCnmax/B201)</f>
        <v>25</v>
      </c>
    </row>
    <row r="202" spans="2:11" x14ac:dyDescent="0.25">
      <c r="B202" s="221">
        <f>(CritMsmin+CritMsmax)/2</f>
        <v>4</v>
      </c>
      <c r="C202" s="222">
        <v>55</v>
      </c>
    </row>
    <row r="203" spans="2:11" x14ac:dyDescent="0.25">
      <c r="D203" s="560"/>
    </row>
    <row r="204" spans="2:11" x14ac:dyDescent="0.25">
      <c r="B204" s="562" t="s">
        <v>407</v>
      </c>
      <c r="C204" s="52" t="b">
        <f ca="1">(OR(C205:C210))</f>
        <v>1</v>
      </c>
      <c r="D204" s="560"/>
    </row>
    <row r="205" spans="2:11" x14ac:dyDescent="0.25">
      <c r="B205" s="561" t="s">
        <v>404</v>
      </c>
      <c r="C205" s="560" t="b">
        <f ca="1">AND(Type_propu="H2O",RIGHT(Type_fusee,1)=" ")</f>
        <v>0</v>
      </c>
      <c r="D205" s="560"/>
    </row>
    <row r="206" spans="2:11" x14ac:dyDescent="0.25">
      <c r="B206" s="561" t="s">
        <v>119</v>
      </c>
      <c r="C206" s="560" t="b">
        <f ca="1">AND(Type_propu="Fusex",RIGHT(Type_fusee,1)=".")</f>
        <v>1</v>
      </c>
      <c r="D206" s="560"/>
    </row>
    <row r="207" spans="2:11" x14ac:dyDescent="0.25">
      <c r="B207" s="561" t="s">
        <v>405</v>
      </c>
      <c r="C207" s="560" t="b">
        <f ca="1">LEFT(Type_propu,5)=LEFT(Type_fusee,5)</f>
        <v>0</v>
      </c>
      <c r="D207" s="560"/>
    </row>
    <row r="208" spans="2:11" x14ac:dyDescent="0.25">
      <c r="B208" s="561" t="s">
        <v>406</v>
      </c>
      <c r="C208" s="560" t="b">
        <f ca="1">AND(RIGHT(Type_propu,1)="N",LEFT(Type_fusee,4)="Mini")</f>
        <v>0</v>
      </c>
      <c r="D208" s="560"/>
    </row>
    <row r="209" spans="1:3" x14ac:dyDescent="0.25">
      <c r="B209" s="561" t="s">
        <v>408</v>
      </c>
      <c r="C209" s="560" t="b">
        <f ca="1">AND(LEFT(Type_propu,5)="MiniR",LEFT(Type_fusee,1)="R")</f>
        <v>0</v>
      </c>
    </row>
    <row r="210" spans="1:3" x14ac:dyDescent="0.25">
      <c r="B210" s="561" t="s">
        <v>398</v>
      </c>
      <c r="C210" s="560" t="b">
        <f ca="1">AND(LEFT(Type_propu,4)="Mini",LEFT(Type_fusee,1)=",")</f>
        <v>0</v>
      </c>
    </row>
    <row r="223" spans="1:3" x14ac:dyDescent="0.25">
      <c r="A223" s="35" t="s">
        <v>465</v>
      </c>
    </row>
    <row r="226" spans="1:1" x14ac:dyDescent="0.25">
      <c r="A226" s="35" t="s">
        <v>478</v>
      </c>
    </row>
    <row r="228" spans="1:1" x14ac:dyDescent="0.25">
      <c r="A228" s="35" t="s">
        <v>479</v>
      </c>
    </row>
    <row r="230" spans="1:1" x14ac:dyDescent="0.25">
      <c r="A230" s="35" t="s">
        <v>480</v>
      </c>
    </row>
    <row r="232" spans="1:1" x14ac:dyDescent="0.25">
      <c r="A232" s="35" t="s">
        <v>481</v>
      </c>
    </row>
    <row r="233" spans="1:1" x14ac:dyDescent="0.25">
      <c r="A233" s="35" t="s">
        <v>482</v>
      </c>
    </row>
    <row r="234" spans="1:1" x14ac:dyDescent="0.25">
      <c r="A234" s="35" t="s">
        <v>483</v>
      </c>
    </row>
    <row r="235" spans="1:1" x14ac:dyDescent="0.25">
      <c r="A235" s="35" t="s">
        <v>484</v>
      </c>
    </row>
    <row r="236" spans="1:1" x14ac:dyDescent="0.25">
      <c r="A236" s="35" t="s">
        <v>485</v>
      </c>
    </row>
    <row r="237" spans="1:1" x14ac:dyDescent="0.25">
      <c r="A237" s="35" t="s">
        <v>486</v>
      </c>
    </row>
    <row r="238" spans="1:1" x14ac:dyDescent="0.25">
      <c r="A238" s="35" t="s">
        <v>184</v>
      </c>
    </row>
    <row r="239" spans="1:1" x14ac:dyDescent="0.25">
      <c r="A239" s="35" t="s">
        <v>487</v>
      </c>
    </row>
    <row r="240" spans="1:1" x14ac:dyDescent="0.25">
      <c r="A240" s="35" t="s">
        <v>488</v>
      </c>
    </row>
    <row r="241" spans="1:1" x14ac:dyDescent="0.25">
      <c r="A241" s="35" t="s">
        <v>184</v>
      </c>
    </row>
    <row r="242" spans="1:1" x14ac:dyDescent="0.25">
      <c r="A242" s="35" t="s">
        <v>489</v>
      </c>
    </row>
    <row r="244" spans="1:1" x14ac:dyDescent="0.25">
      <c r="A244" s="35" t="s">
        <v>490</v>
      </c>
    </row>
    <row r="246" spans="1:1" x14ac:dyDescent="0.25">
      <c r="A246" s="35" t="s">
        <v>491</v>
      </c>
    </row>
    <row r="248" spans="1:1" x14ac:dyDescent="0.25">
      <c r="A248" s="35" t="s">
        <v>492</v>
      </c>
    </row>
    <row r="249" spans="1:1" x14ac:dyDescent="0.25">
      <c r="A249" s="35" t="s">
        <v>493</v>
      </c>
    </row>
    <row r="250" spans="1:1" x14ac:dyDescent="0.25">
      <c r="A250" s="35" t="s">
        <v>494</v>
      </c>
    </row>
    <row r="251" spans="1:1" x14ac:dyDescent="0.25">
      <c r="A251" s="35" t="s">
        <v>495</v>
      </c>
    </row>
    <row r="252" spans="1:1" x14ac:dyDescent="0.25">
      <c r="A252" s="35" t="s">
        <v>496</v>
      </c>
    </row>
    <row r="254" spans="1:1" x14ac:dyDescent="0.25">
      <c r="A254" s="35" t="s">
        <v>497</v>
      </c>
    </row>
    <row r="255" spans="1:1" x14ac:dyDescent="0.25">
      <c r="A255" s="35" t="s">
        <v>498</v>
      </c>
    </row>
    <row r="256" spans="1:1" x14ac:dyDescent="0.25">
      <c r="A256" s="35" t="s">
        <v>499</v>
      </c>
    </row>
    <row r="257" spans="1:1" x14ac:dyDescent="0.25">
      <c r="A257" s="35" t="s">
        <v>500</v>
      </c>
    </row>
    <row r="258" spans="1:1" x14ac:dyDescent="0.25">
      <c r="A258" s="35" t="s">
        <v>501</v>
      </c>
    </row>
    <row r="261" spans="1:1" x14ac:dyDescent="0.25">
      <c r="A261" s="35" t="s">
        <v>502</v>
      </c>
    </row>
    <row r="262" spans="1:1" x14ac:dyDescent="0.25">
      <c r="A262" s="35" t="s">
        <v>503</v>
      </c>
    </row>
    <row r="263" spans="1:1" x14ac:dyDescent="0.25">
      <c r="A263" s="35" t="s">
        <v>504</v>
      </c>
    </row>
    <row r="264" spans="1:1" x14ac:dyDescent="0.25">
      <c r="A264" s="35" t="s">
        <v>505</v>
      </c>
    </row>
    <row r="265" spans="1:1" x14ac:dyDescent="0.25">
      <c r="A265" s="35" t="s">
        <v>506</v>
      </c>
    </row>
    <row r="267" spans="1:1" x14ac:dyDescent="0.25">
      <c r="A267" s="35" t="s">
        <v>499</v>
      </c>
    </row>
    <row r="268" spans="1:1" x14ac:dyDescent="0.25">
      <c r="A268" s="35" t="s">
        <v>500</v>
      </c>
    </row>
    <row r="269" spans="1:1" x14ac:dyDescent="0.25">
      <c r="A269" s="35" t="s">
        <v>507</v>
      </c>
    </row>
    <row r="272" spans="1:1" x14ac:dyDescent="0.25">
      <c r="A272" s="35" t="s">
        <v>467</v>
      </c>
    </row>
    <row r="273" spans="1:1" x14ac:dyDescent="0.25">
      <c r="A273" s="35" t="s">
        <v>468</v>
      </c>
    </row>
    <row r="275" spans="1:1" x14ac:dyDescent="0.25">
      <c r="A275" s="35" t="s">
        <v>508</v>
      </c>
    </row>
    <row r="277" spans="1:1" x14ac:dyDescent="0.25">
      <c r="A277" s="35" t="s">
        <v>507</v>
      </c>
    </row>
    <row r="280" spans="1:1" x14ac:dyDescent="0.25">
      <c r="A280" s="35" t="s">
        <v>469</v>
      </c>
    </row>
    <row r="281" spans="1:1" x14ac:dyDescent="0.25">
      <c r="A281" s="35" t="s">
        <v>470</v>
      </c>
    </row>
    <row r="282" spans="1:1" x14ac:dyDescent="0.25">
      <c r="A282" s="35" t="s">
        <v>509</v>
      </c>
    </row>
    <row r="283" spans="1:1" x14ac:dyDescent="0.25">
      <c r="A283" s="35" t="s">
        <v>510</v>
      </c>
    </row>
    <row r="284" spans="1:1" x14ac:dyDescent="0.25">
      <c r="A284" s="35" t="s">
        <v>507</v>
      </c>
    </row>
    <row r="285" spans="1:1" x14ac:dyDescent="0.25">
      <c r="A285" s="35" t="s">
        <v>471</v>
      </c>
    </row>
    <row r="287" spans="1:1" x14ac:dyDescent="0.25">
      <c r="A287" s="35" t="s">
        <v>511</v>
      </c>
    </row>
    <row r="288" spans="1:1" x14ac:dyDescent="0.25">
      <c r="A288" s="35" t="s">
        <v>509</v>
      </c>
    </row>
    <row r="289" spans="1:1" x14ac:dyDescent="0.25">
      <c r="A289" s="35" t="s">
        <v>512</v>
      </c>
    </row>
    <row r="291" spans="1:1" x14ac:dyDescent="0.25">
      <c r="A291" s="35" t="s">
        <v>507</v>
      </c>
    </row>
    <row r="294" spans="1:1" x14ac:dyDescent="0.25">
      <c r="A294" s="35" t="s">
        <v>513</v>
      </c>
    </row>
    <row r="295" spans="1:1" x14ac:dyDescent="0.25">
      <c r="A295" s="35" t="s">
        <v>514</v>
      </c>
    </row>
    <row r="296" spans="1:1" x14ac:dyDescent="0.25">
      <c r="A296" s="35" t="s">
        <v>515</v>
      </c>
    </row>
    <row r="298" spans="1:1" x14ac:dyDescent="0.25">
      <c r="A298" s="35" t="s">
        <v>507</v>
      </c>
    </row>
    <row r="301" spans="1:1" x14ac:dyDescent="0.25">
      <c r="A301" s="35" t="s">
        <v>516</v>
      </c>
    </row>
    <row r="302" spans="1:1" x14ac:dyDescent="0.25">
      <c r="A302" s="35" t="s">
        <v>517</v>
      </c>
    </row>
    <row r="304" spans="1:1" x14ac:dyDescent="0.25">
      <c r="A304" s="35" t="s">
        <v>518</v>
      </c>
    </row>
    <row r="305" spans="1:1" x14ac:dyDescent="0.25">
      <c r="A305" s="35" t="s">
        <v>519</v>
      </c>
    </row>
    <row r="306" spans="1:1" x14ac:dyDescent="0.25">
      <c r="A306" s="35" t="s">
        <v>507</v>
      </c>
    </row>
    <row r="309" spans="1:1" x14ac:dyDescent="0.25">
      <c r="A309" s="35" t="s">
        <v>516</v>
      </c>
    </row>
    <row r="310" spans="1:1" x14ac:dyDescent="0.25">
      <c r="A310" s="35" t="s">
        <v>520</v>
      </c>
    </row>
    <row r="311" spans="1:1" x14ac:dyDescent="0.25">
      <c r="A311" s="35" t="s">
        <v>516</v>
      </c>
    </row>
    <row r="312" spans="1:1" x14ac:dyDescent="0.25">
      <c r="A312" s="35" t="s">
        <v>521</v>
      </c>
    </row>
    <row r="314" spans="1:1" x14ac:dyDescent="0.25">
      <c r="A314" s="35" t="s">
        <v>522</v>
      </c>
    </row>
    <row r="316" spans="1:1" x14ac:dyDescent="0.25">
      <c r="A316" s="35" t="s">
        <v>507</v>
      </c>
    </row>
    <row r="319" spans="1:1" x14ac:dyDescent="0.25">
      <c r="A319" s="35" t="s">
        <v>516</v>
      </c>
    </row>
    <row r="320" spans="1:1" x14ac:dyDescent="0.25">
      <c r="A320" s="35" t="s">
        <v>523</v>
      </c>
    </row>
    <row r="321" spans="1:1" x14ac:dyDescent="0.25">
      <c r="A321" s="35" t="s">
        <v>524</v>
      </c>
    </row>
    <row r="322" spans="1:1" x14ac:dyDescent="0.25">
      <c r="A322" s="35" t="s">
        <v>525</v>
      </c>
    </row>
    <row r="324" spans="1:1" x14ac:dyDescent="0.25">
      <c r="A324" s="35" t="s">
        <v>507</v>
      </c>
    </row>
    <row r="326" spans="1:1" x14ac:dyDescent="0.25">
      <c r="A326" s="35" t="s">
        <v>466</v>
      </c>
    </row>
    <row r="329" spans="1:1" x14ac:dyDescent="0.25">
      <c r="A329" s="35" t="s">
        <v>472</v>
      </c>
    </row>
    <row r="330" spans="1:1" x14ac:dyDescent="0.25">
      <c r="A330" s="35" t="s">
        <v>473</v>
      </c>
    </row>
    <row r="331" spans="1:1" x14ac:dyDescent="0.25">
      <c r="A331" s="35" t="s">
        <v>526</v>
      </c>
    </row>
    <row r="332" spans="1:1" x14ac:dyDescent="0.25">
      <c r="A332" s="35" t="s">
        <v>527</v>
      </c>
    </row>
    <row r="333" spans="1:1" x14ac:dyDescent="0.25">
      <c r="A333" s="35" t="s">
        <v>528</v>
      </c>
    </row>
    <row r="334" spans="1:1" x14ac:dyDescent="0.25">
      <c r="A334" s="35" t="s">
        <v>529</v>
      </c>
    </row>
    <row r="335" spans="1:1" x14ac:dyDescent="0.25">
      <c r="A335" s="35" t="s">
        <v>530</v>
      </c>
    </row>
    <row r="336" spans="1:1" x14ac:dyDescent="0.25">
      <c r="A336" s="35" t="s">
        <v>483</v>
      </c>
    </row>
    <row r="337" spans="1:1" x14ac:dyDescent="0.25">
      <c r="A337" s="35" t="s">
        <v>474</v>
      </c>
    </row>
    <row r="340" spans="1:1" x14ac:dyDescent="0.25">
      <c r="A340" s="35" t="s">
        <v>475</v>
      </c>
    </row>
    <row r="342" spans="1:1" x14ac:dyDescent="0.25">
      <c r="A342" s="35" t="s">
        <v>531</v>
      </c>
    </row>
    <row r="343" spans="1:1" x14ac:dyDescent="0.25">
      <c r="A343" s="35" t="s">
        <v>532</v>
      </c>
    </row>
    <row r="344" spans="1:1" x14ac:dyDescent="0.25">
      <c r="A344" s="35" t="s">
        <v>533</v>
      </c>
    </row>
    <row r="345" spans="1:1" x14ac:dyDescent="0.25">
      <c r="A345" s="35" t="s">
        <v>534</v>
      </c>
    </row>
    <row r="346" spans="1:1" x14ac:dyDescent="0.25">
      <c r="A346" s="35" t="s">
        <v>535</v>
      </c>
    </row>
    <row r="347" spans="1:1" x14ac:dyDescent="0.25">
      <c r="A347" s="35" t="s">
        <v>483</v>
      </c>
    </row>
    <row r="348" spans="1:1" x14ac:dyDescent="0.25">
      <c r="A348" s="35" t="s">
        <v>476</v>
      </c>
    </row>
    <row r="349" spans="1:1" x14ac:dyDescent="0.25">
      <c r="A349" s="35" t="s">
        <v>536</v>
      </c>
    </row>
    <row r="350" spans="1:1" x14ac:dyDescent="0.25">
      <c r="A350" s="35" t="s">
        <v>537</v>
      </c>
    </row>
    <row r="352" spans="1:1" x14ac:dyDescent="0.25">
      <c r="A352" s="35" t="s">
        <v>507</v>
      </c>
    </row>
    <row r="355" spans="1:1" x14ac:dyDescent="0.25">
      <c r="A355" s="35" t="s">
        <v>466</v>
      </c>
    </row>
    <row r="361" spans="1:1" x14ac:dyDescent="0.25">
      <c r="A361" s="35" t="s">
        <v>477</v>
      </c>
    </row>
  </sheetData>
  <sheetProtection password="C6AC" sheet="1"/>
  <dataConsolidate/>
  <mergeCells count="56">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 ref="C26:D26"/>
    <mergeCell ref="C18:D18"/>
    <mergeCell ref="C19:D19"/>
    <mergeCell ref="O23:P23"/>
    <mergeCell ref="O24:P24"/>
    <mergeCell ref="C22:D22"/>
    <mergeCell ref="C21:D21"/>
    <mergeCell ref="C23:D23"/>
    <mergeCell ref="C2:D3"/>
    <mergeCell ref="C4:D4"/>
    <mergeCell ref="M22:N22"/>
    <mergeCell ref="M19:N19"/>
    <mergeCell ref="M9:N9"/>
    <mergeCell ref="M7:N7"/>
    <mergeCell ref="M8:N8"/>
    <mergeCell ref="C7:D7"/>
    <mergeCell ref="C10:D10"/>
    <mergeCell ref="M5:N5"/>
    <mergeCell ref="M6:N6"/>
    <mergeCell ref="M20:N20"/>
    <mergeCell ref="N14:O14"/>
    <mergeCell ref="N15:O15"/>
    <mergeCell ref="M17:N17"/>
    <mergeCell ref="C14:D14"/>
    <mergeCell ref="C5:D5"/>
    <mergeCell ref="H26:I26"/>
    <mergeCell ref="C16:D16"/>
    <mergeCell ref="C17:D17"/>
    <mergeCell ref="O21:P21"/>
    <mergeCell ref="M21:N21"/>
    <mergeCell ref="O19:P19"/>
    <mergeCell ref="O22:P22"/>
    <mergeCell ref="C20:D20"/>
    <mergeCell ref="C6:D6"/>
    <mergeCell ref="C13:D13"/>
    <mergeCell ref="C8:D8"/>
    <mergeCell ref="C9:D9"/>
    <mergeCell ref="O20:P20"/>
    <mergeCell ref="M23:N23"/>
    <mergeCell ref="M24:N24"/>
  </mergeCells>
  <phoneticPr fontId="8" type="noConversion"/>
  <conditionalFormatting sqref="B14:D14 B34:C34">
    <cfRule type="expression" dxfId="53" priority="36" stopIfTrue="1">
      <formula>AND(IF(RIGHT(Nb_diam,1)=",",1),IF(LEFT(Type_masquage,1)="M",1))</formula>
    </cfRule>
  </conditionalFormatting>
  <conditionalFormatting sqref="D25:E25 D27:E34 B35:E35 L20:P22">
    <cfRule type="expression" dxfId="52" priority="83" stopIfTrue="1">
      <formula>IF(LEFT(Type_masquage,1)="M",1)</formula>
    </cfRule>
  </conditionalFormatting>
  <conditionalFormatting sqref="H33:I34">
    <cfRule type="expression" dxfId="51" priority="50" stopIfTrue="1">
      <formula>$H$33="STABLE"</formula>
    </cfRule>
  </conditionalFormatting>
  <conditionalFormatting sqref="H27:I27">
    <cfRule type="expression" dxfId="50" priority="47" stopIfTrue="1">
      <formula>OR(Finesse&lt;CritFinessemin,Finesse&gt;CritFinessemax)</formula>
    </cfRule>
  </conditionalFormatting>
  <conditionalFormatting sqref="H28">
    <cfRule type="expression" dxfId="49" priority="46" stopIfTrue="1">
      <formula>OR(Cn&lt;CritCnmin,Cn&gt;CritCnmax)</formula>
    </cfRule>
  </conditionalFormatting>
  <conditionalFormatting sqref="H29">
    <cfRule type="expression" dxfId="48" priority="45" stopIfTrue="1">
      <formula>OR(MS_min&lt;CritMsmin,MS_min&gt;CritMsmax)</formula>
    </cfRule>
  </conditionalFormatting>
  <conditionalFormatting sqref="I29">
    <cfRule type="expression" dxfId="47" priority="44" stopIfTrue="1">
      <formula>OR(MS_max&lt;CritMsmin,MS_max&gt;CritMsmax)</formula>
    </cfRule>
  </conditionalFormatting>
  <conditionalFormatting sqref="H30">
    <cfRule type="expression" dxfId="46" priority="43" stopIfTrue="1">
      <formula>OR(MS_Cn_min&lt;CritMsCnmin,MS_Cn_min&gt;CritMsCnmax)</formula>
    </cfRule>
  </conditionalFormatting>
  <conditionalFormatting sqref="I30">
    <cfRule type="expression" dxfId="45" priority="42" stopIfTrue="1">
      <formula>OR(MS_Cn_max&lt;CritMsCnmin,MS_Cn_max&gt;CritMsCnmax)</formula>
    </cfRule>
  </conditionalFormatting>
  <conditionalFormatting sqref="L23:P24">
    <cfRule type="expression" dxfId="44" priority="64" stopIfTrue="1">
      <formula>IF(RIGHT(Nb_diam,1)=",",1)</formula>
    </cfRule>
  </conditionalFormatting>
  <conditionalFormatting sqref="L6:P9">
    <cfRule type="expression" dxfId="43" priority="48" stopIfTrue="1">
      <formula>IF(RIGHT(Nb_diam,1)=",",1)</formula>
    </cfRule>
  </conditionalFormatting>
  <conditionalFormatting sqref="M5:P5">
    <cfRule type="expression" dxfId="42" priority="38" stopIfTrue="1">
      <formula>IF(RIGHT(Nb_diam,1)=",",1)</formula>
    </cfRule>
  </conditionalFormatting>
  <conditionalFormatting sqref="C11">
    <cfRule type="cellIs" dxfId="41" priority="24" stopIfTrue="1" operator="equal">
      <formula>359</formula>
    </cfRule>
    <cfRule type="expression" dxfId="40" priority="27" stopIfTrue="1">
      <formula>OR(MasseSans&lt;MpropuVide, MasseSans&gt;20*MpropuPlein)</formula>
    </cfRule>
  </conditionalFormatting>
  <conditionalFormatting sqref="N36">
    <cfRule type="expression" dxfId="39" priority="26" stopIfTrue="1">
      <formula>ROUND(SUM(C2:P25)+SUM(C27:P35),0)=8637</formula>
    </cfRule>
  </conditionalFormatting>
  <conditionalFormatting sqref="O36 M36">
    <cfRule type="expression" dxfId="38" priority="141" stopIfTrue="1">
      <formula>$M$36="propu NOK"</formula>
    </cfRule>
  </conditionalFormatting>
  <conditionalFormatting sqref="C12">
    <cfRule type="cellIs" dxfId="37" priority="23" stopIfTrue="1" operator="equal">
      <formula>639</formula>
    </cfRule>
  </conditionalFormatting>
  <conditionalFormatting sqref="C13:D13 C18 C33">
    <cfRule type="cellIs" dxfId="36" priority="22" stopIfTrue="1" operator="equal">
      <formula>1001</formula>
    </cfRule>
  </conditionalFormatting>
  <conditionalFormatting sqref="C22:D22">
    <cfRule type="cellIs" dxfId="35" priority="21" stopIfTrue="1" operator="equal">
      <formula>199</formula>
    </cfRule>
  </conditionalFormatting>
  <conditionalFormatting sqref="C23:D23 C14 C34">
    <cfRule type="cellIs" dxfId="34" priority="20" stopIfTrue="1" operator="equal">
      <formula>59</formula>
    </cfRule>
  </conditionalFormatting>
  <conditionalFormatting sqref="C30">
    <cfRule type="cellIs" dxfId="33" priority="19" stopIfTrue="1" operator="equal">
      <formula>99</formula>
    </cfRule>
  </conditionalFormatting>
  <conditionalFormatting sqref="C28">
    <cfRule type="cellIs" dxfId="32" priority="18" stopIfTrue="1" operator="equal">
      <formula>59</formula>
    </cfRule>
  </conditionalFormatting>
  <conditionalFormatting sqref="C29 C27">
    <cfRule type="cellIs" dxfId="31" priority="17" stopIfTrue="1" operator="equal">
      <formula>109</formula>
    </cfRule>
  </conditionalFormatting>
  <conditionalFormatting sqref="D17">
    <cfRule type="expression" dxfId="30" priority="10" stopIfTrue="1">
      <formula>D202</formula>
    </cfRule>
  </conditionalFormatting>
  <conditionalFormatting sqref="C17">
    <cfRule type="expression" dxfId="29" priority="150" stopIfTrue="1">
      <formula>C204</formula>
    </cfRule>
  </conditionalFormatting>
  <conditionalFormatting sqref="L38:M38">
    <cfRule type="expression" dxfId="28" priority="232" stopIfTrue="1">
      <formula>OR(SUM($C$27:$C$32)=273, $H$33&lt;&gt;"STABLE")</formula>
    </cfRule>
  </conditionalFormatting>
  <conditionalFormatting sqref="I28">
    <cfRule type="expression" dxfId="27" priority="5" stopIfTrue="1">
      <formula>OR(Cn0&lt;CritCnmin,Cn0&gt;CritCnmax)</formula>
    </cfRule>
  </conditionalFormatting>
  <dataValidations count="13">
    <dataValidation type="whole" allowBlank="1" showInputMessage="1" showErrorMessage="1" error="Tapez un entier entre 3 et 6." sqref="C32:D32" xr:uid="{00000000-0002-0000-0000-000000000000}">
      <formula1>3</formula1>
      <formula2>6</formula2>
    </dataValidation>
    <dataValidation type="decimal" operator="notEqual" allowBlank="1" showInputMessage="1" showErrorMessage="1" error="Tapez uniquement la longueur, sans l'unité." sqref="C29:D29" xr:uid="{00000000-0002-0000-0000-000001000000}">
      <formula1>1E+100</formula1>
    </dataValidation>
    <dataValidation type="decimal" operator="greaterThanOrEqual" allowBlank="1" showInputMessage="1" showErrorMessage="1" error="Tapez uniquement la longueur, sans l'unité." sqref="C27:D28 C33:D34 C30:D31 M6:O9" xr:uid="{00000000-0002-0000-0000-000002000000}">
      <formula1>0</formula1>
    </dataValidation>
    <dataValidation type="list" showInputMessage="1" showErrorMessage="1" sqref="C26:D26" xr:uid="{00000000-0002-0000-0000-000003000000}">
      <formula1>Menu_Empennage</formula1>
    </dataValidation>
    <dataValidation type="list" showInputMessage="1" showErrorMessage="1" sqref="C17:D17"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1" xr:uid="{00000000-0002-0000-0000-000006000000}">
      <formula1>0</formula1>
      <formula2>50000</formula2>
    </dataValidation>
    <dataValidation type="decimal" operator="greaterThan" showInputMessage="1" showErrorMessage="1" error="Tapez uniquement la longueur, sans l'unité." sqref="C12 C13:D13 C22:D23" xr:uid="{00000000-0002-0000-0000-000007000000}">
      <formula1>0</formula1>
    </dataValidation>
    <dataValidation type="list" showInputMessage="1" showErrorMessage="1" sqref="D11:D12" xr:uid="{00000000-0002-0000-0000-000008000000}">
      <formula1>Menu_with_motor</formula1>
    </dataValidation>
    <dataValidation type="list" showInputMessage="1" showErrorMessage="1" sqref="C10:D10" xr:uid="{00000000-0002-0000-0000-000009000000}">
      <formula1>Menu_Type</formula1>
    </dataValidation>
    <dataValidation type="decimal" operator="greaterThan" allowBlank="1" showInputMessage="1" showErrorMessage="1" error="Tapez uniquement la longueur, sans l'unité." sqref="C18" xr:uid="{00000000-0002-0000-0000-00000A000000}">
      <formula1>0</formula1>
    </dataValidation>
    <dataValidation type="list" showInputMessage="1" showErrorMessage="1" sqref="C21:D21" xr:uid="{00000000-0002-0000-0000-00000B000000}">
      <formula1>Menu_Ogive</formula1>
    </dataValidation>
    <dataValidation type="list" showInputMessage="1" showErrorMessage="1" sqref="M4" xr:uid="{00000000-0002-0000-0000-00000C000000}">
      <formula1>Menu_Transitions</formula1>
    </dataValidation>
  </dataValidations>
  <hyperlinks>
    <hyperlink ref="M38"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C34:D34"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891540</xdr:colOff>
                    <xdr:row>21</xdr:row>
                    <xdr:rowOff>15240</xdr:rowOff>
                  </from>
                  <to>
                    <xdr:col>4</xdr:col>
                    <xdr:colOff>0</xdr:colOff>
                    <xdr:row>22</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891540</xdr:colOff>
                    <xdr:row>10</xdr:row>
                    <xdr:rowOff>15240</xdr:rowOff>
                  </from>
                  <to>
                    <xdr:col>3</xdr:col>
                    <xdr:colOff>0</xdr:colOff>
                    <xdr:row>11</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891540</xdr:colOff>
                    <xdr:row>11</xdr:row>
                    <xdr:rowOff>15240</xdr:rowOff>
                  </from>
                  <to>
                    <xdr:col>3</xdr:col>
                    <xdr:colOff>0</xdr:colOff>
                    <xdr:row>12</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891540</xdr:colOff>
                    <xdr:row>22</xdr:row>
                    <xdr:rowOff>15240</xdr:rowOff>
                  </from>
                  <to>
                    <xdr:col>4</xdr:col>
                    <xdr:colOff>0</xdr:colOff>
                    <xdr:row>23</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891540</xdr:colOff>
                    <xdr:row>26</xdr:row>
                    <xdr:rowOff>15240</xdr:rowOff>
                  </from>
                  <to>
                    <xdr:col>3</xdr:col>
                    <xdr:colOff>0</xdr:colOff>
                    <xdr:row>27</xdr:row>
                    <xdr:rowOff>0</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891540</xdr:colOff>
                    <xdr:row>27</xdr:row>
                    <xdr:rowOff>15240</xdr:rowOff>
                  </from>
                  <to>
                    <xdr:col>3</xdr:col>
                    <xdr:colOff>0</xdr:colOff>
                    <xdr:row>28</xdr:row>
                    <xdr:rowOff>0</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891540</xdr:colOff>
                    <xdr:row>28</xdr:row>
                    <xdr:rowOff>15240</xdr:rowOff>
                  </from>
                  <to>
                    <xdr:col>3</xdr:col>
                    <xdr:colOff>0</xdr:colOff>
                    <xdr:row>29</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891540</xdr:colOff>
                    <xdr:row>29</xdr:row>
                    <xdr:rowOff>15240</xdr:rowOff>
                  </from>
                  <to>
                    <xdr:col>3</xdr:col>
                    <xdr:colOff>0</xdr:colOff>
                    <xdr:row>30</xdr:row>
                    <xdr:rowOff>0</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891540</xdr:colOff>
                    <xdr:row>30</xdr:row>
                    <xdr:rowOff>15240</xdr:rowOff>
                  </from>
                  <to>
                    <xdr:col>3</xdr:col>
                    <xdr:colOff>0</xdr:colOff>
                    <xdr:row>31</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891540</xdr:colOff>
                    <xdr:row>31</xdr:row>
                    <xdr:rowOff>15240</xdr:rowOff>
                  </from>
                  <to>
                    <xdr:col>3</xdr:col>
                    <xdr:colOff>0</xdr:colOff>
                    <xdr:row>32</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891540</xdr:colOff>
                    <xdr:row>12</xdr:row>
                    <xdr:rowOff>15240</xdr:rowOff>
                  </from>
                  <to>
                    <xdr:col>4</xdr:col>
                    <xdr:colOff>0</xdr:colOff>
                    <xdr:row>13</xdr:row>
                    <xdr:rowOff>0</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15240</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15240</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199"/>
  <sheetViews>
    <sheetView showGridLines="0" tabSelected="1" topLeftCell="B28" zoomScaleNormal="100" workbookViewId="0">
      <selection activeCell="B51" sqref="B51"/>
    </sheetView>
  </sheetViews>
  <sheetFormatPr baseColWidth="10" defaultColWidth="11.33203125" defaultRowHeight="13.2" x14ac:dyDescent="0.25"/>
  <cols>
    <col min="1" max="1" width="2.21875" style="1" customWidth="1"/>
    <col min="2" max="2" width="16.21875" style="1" customWidth="1"/>
    <col min="3" max="4" width="11.33203125" style="1"/>
    <col min="5" max="5" width="2.77734375" style="1" customWidth="1"/>
    <col min="6" max="7" width="12.77734375" style="1" customWidth="1"/>
    <col min="8" max="13" width="10.77734375" style="1" customWidth="1"/>
    <col min="14" max="15" width="2.21875" style="1" customWidth="1"/>
    <col min="16" max="17" width="14.21875" style="1" customWidth="1"/>
    <col min="18" max="16384" width="11.33203125" style="1"/>
  </cols>
  <sheetData>
    <row r="1" spans="1:14" x14ac:dyDescent="0.25">
      <c r="A1" s="72"/>
      <c r="B1" s="73"/>
      <c r="C1" s="74"/>
      <c r="D1" s="73"/>
      <c r="E1" s="75"/>
      <c r="F1" s="75"/>
      <c r="G1" s="75"/>
      <c r="H1" s="75"/>
      <c r="I1" s="75"/>
      <c r="J1" s="75"/>
      <c r="K1" s="75"/>
      <c r="L1" s="75"/>
      <c r="M1" s="75"/>
      <c r="N1" s="76"/>
    </row>
    <row r="2" spans="1:14" ht="12.75" customHeight="1" x14ac:dyDescent="0.25">
      <c r="A2" s="77"/>
      <c r="B2" s="2"/>
      <c r="C2" s="735" t="s">
        <v>0</v>
      </c>
      <c r="D2" s="735"/>
      <c r="E2" s="3"/>
      <c r="F2" s="4"/>
      <c r="G2" s="3"/>
      <c r="H2" s="3"/>
      <c r="I2" s="3"/>
      <c r="J2" s="5"/>
      <c r="K2" s="3"/>
      <c r="L2" s="3"/>
      <c r="M2" s="3"/>
      <c r="N2" s="78"/>
    </row>
    <row r="3" spans="1:14" ht="12.75" customHeight="1" x14ac:dyDescent="0.25">
      <c r="A3" s="77"/>
      <c r="B3" s="2"/>
      <c r="C3" s="735"/>
      <c r="D3" s="735"/>
      <c r="E3" s="6"/>
      <c r="F3" s="6"/>
      <c r="G3" s="6"/>
      <c r="H3" s="7"/>
      <c r="I3" s="6"/>
      <c r="J3" s="5"/>
      <c r="K3" s="3"/>
      <c r="L3" s="3"/>
      <c r="M3" s="3"/>
      <c r="N3" s="78"/>
    </row>
    <row r="4" spans="1:14" ht="12.75" customHeight="1" x14ac:dyDescent="0.25">
      <c r="A4" s="77"/>
      <c r="B4" s="2"/>
      <c r="C4" s="738" t="str">
        <f>IF(Lang="Français","Trajectographie de fusée",IF(Lang="English","Rocket Trajectography",""))</f>
        <v>Trajectographie de fusée</v>
      </c>
      <c r="D4" s="738"/>
      <c r="E4" s="6"/>
      <c r="F4" s="6"/>
      <c r="G4" s="6"/>
      <c r="H4" s="7"/>
      <c r="I4" s="6"/>
      <c r="J4" s="5"/>
      <c r="K4" s="3"/>
      <c r="L4" s="3"/>
      <c r="M4" s="3"/>
      <c r="N4" s="78"/>
    </row>
    <row r="5" spans="1:14" ht="12.75" customHeight="1" x14ac:dyDescent="0.25">
      <c r="A5" s="77"/>
      <c r="B5" s="2"/>
      <c r="C5" s="3"/>
      <c r="D5" s="3"/>
      <c r="E5" s="6"/>
      <c r="F5" s="6"/>
      <c r="G5" s="3"/>
      <c r="H5" s="3"/>
      <c r="I5" s="6"/>
      <c r="J5" s="5"/>
      <c r="K5" s="3"/>
      <c r="L5" s="3"/>
      <c r="M5" s="3"/>
      <c r="N5" s="78"/>
    </row>
    <row r="6" spans="1:14" ht="13.05" customHeight="1" x14ac:dyDescent="0.25">
      <c r="A6" s="77"/>
      <c r="B6" s="111"/>
      <c r="C6" s="737" t="str">
        <f>IF(Lang="Français","Remplir les cases jaunes",IF(Lang="English","Fill-in yellow cells only",""))</f>
        <v>Remplir les cases jaunes</v>
      </c>
      <c r="D6" s="737"/>
      <c r="E6" s="6"/>
      <c r="F6" s="6"/>
      <c r="G6" s="3"/>
      <c r="H6" s="3"/>
      <c r="I6" s="6"/>
      <c r="J6" s="5"/>
      <c r="K6" s="3"/>
      <c r="L6" s="3"/>
      <c r="M6" s="3"/>
      <c r="N6" s="78"/>
    </row>
    <row r="7" spans="1:14" x14ac:dyDescent="0.25">
      <c r="A7" s="77"/>
      <c r="B7" s="8"/>
      <c r="C7" s="717" t="str">
        <f>IF(Lang="Français","Fusée",IF(Lang="English","Rocket",""))</f>
        <v>Fusée</v>
      </c>
      <c r="D7" s="717"/>
      <c r="E7" s="6"/>
      <c r="F7" s="6"/>
      <c r="G7" s="3"/>
      <c r="H7" s="3"/>
      <c r="I7" s="6"/>
      <c r="J7" s="3"/>
      <c r="K7" s="3"/>
      <c r="L7" s="3"/>
      <c r="M7" s="3"/>
      <c r="N7" s="79"/>
    </row>
    <row r="8" spans="1:14" ht="12.75" customHeight="1" x14ac:dyDescent="0.3">
      <c r="A8" s="77"/>
      <c r="B8" s="173" t="str">
        <f>IF(Lang="Français","Nom",IF(Lang="English","Name",""))</f>
        <v>Nom</v>
      </c>
      <c r="C8" s="736" t="str">
        <f>Nom</f>
        <v>Indra</v>
      </c>
      <c r="D8" s="736"/>
      <c r="E8" s="7"/>
      <c r="F8" s="7"/>
      <c r="G8" s="3"/>
      <c r="H8" s="3"/>
      <c r="I8" s="6"/>
      <c r="J8" s="5"/>
      <c r="K8" s="3"/>
      <c r="L8" s="3"/>
      <c r="M8" s="3"/>
      <c r="N8" s="78"/>
    </row>
    <row r="9" spans="1:14" ht="12.75" customHeight="1" x14ac:dyDescent="0.3">
      <c r="A9" s="80"/>
      <c r="B9" s="173" t="s">
        <v>4</v>
      </c>
      <c r="C9" s="736" t="str">
        <f>Club</f>
        <v>Space'Tech Orléans</v>
      </c>
      <c r="D9" s="736"/>
      <c r="E9" s="6"/>
      <c r="F9" s="27"/>
      <c r="G9" s="3"/>
      <c r="H9" s="3"/>
      <c r="I9" s="6"/>
      <c r="J9" s="3"/>
      <c r="K9" s="3"/>
      <c r="L9" s="3"/>
      <c r="M9" s="3"/>
      <c r="N9" s="79"/>
    </row>
    <row r="10" spans="1:14" ht="12.75" customHeight="1" x14ac:dyDescent="0.25">
      <c r="A10" s="80"/>
      <c r="B10" s="173" t="str">
        <f>IF(Lang="Français","Masse totale",IF(Lang="English","Total Mass",""))</f>
        <v>Masse totale</v>
      </c>
      <c r="C10" s="712">
        <f ca="1">MassePlein</f>
        <v>12.510999999999999</v>
      </c>
      <c r="D10" s="712"/>
      <c r="E10" s="6"/>
      <c r="F10" s="27"/>
      <c r="G10" s="3"/>
      <c r="H10" s="3"/>
      <c r="I10" s="6"/>
      <c r="J10" s="3"/>
      <c r="K10" s="3"/>
      <c r="L10" s="3"/>
      <c r="M10" s="3"/>
      <c r="N10" s="79"/>
    </row>
    <row r="11" spans="1:14" ht="12.75" customHeight="1" x14ac:dyDescent="0.25">
      <c r="A11" s="80"/>
      <c r="B11" s="266" t="str">
        <f>IF(Lang="Français","Propulseur",IF(Lang="English","Motor",""))</f>
        <v>Propulseur</v>
      </c>
      <c r="C11" s="715" t="str">
        <f>Propu</f>
        <v>Orignal (Pro75-3G C)</v>
      </c>
      <c r="D11" s="716"/>
      <c r="E11" s="6"/>
      <c r="F11" s="27"/>
      <c r="G11" s="3"/>
      <c r="H11" s="3"/>
      <c r="I11" s="6"/>
      <c r="J11" s="3"/>
      <c r="K11" s="3"/>
      <c r="L11" s="3"/>
      <c r="M11" s="3"/>
      <c r="N11" s="79"/>
    </row>
    <row r="12" spans="1:14" ht="12.75" customHeight="1" x14ac:dyDescent="0.25">
      <c r="A12" s="80"/>
      <c r="B12" s="3"/>
      <c r="C12" s="3"/>
      <c r="D12" s="3"/>
      <c r="E12" s="6"/>
      <c r="F12" s="27"/>
      <c r="G12" s="3"/>
      <c r="H12" s="3"/>
      <c r="I12" s="6"/>
      <c r="J12" s="3"/>
      <c r="K12" s="3"/>
      <c r="L12" s="3"/>
      <c r="M12" s="3"/>
      <c r="N12" s="79"/>
    </row>
    <row r="13" spans="1:14" ht="12.75" customHeight="1" x14ac:dyDescent="0.25">
      <c r="A13" s="80"/>
      <c r="B13" s="81"/>
      <c r="C13" s="717" t="str">
        <f>IF(Lang="Français","Traînée Aérdynamique",IF(Lang="English","Drag",""))</f>
        <v>Traînée Aérdynamique</v>
      </c>
      <c r="D13" s="717"/>
      <c r="E13" s="6"/>
      <c r="F13" s="3"/>
      <c r="G13" s="3"/>
      <c r="H13" s="3"/>
      <c r="I13" s="6"/>
      <c r="J13" s="3"/>
      <c r="K13" s="3"/>
      <c r="L13" s="3"/>
      <c r="M13" s="3"/>
      <c r="N13" s="79"/>
    </row>
    <row r="14" spans="1:14" ht="12.75" customHeight="1" x14ac:dyDescent="0.25">
      <c r="A14" s="80"/>
      <c r="B14" s="173" t="s">
        <v>41</v>
      </c>
      <c r="C14" s="718">
        <f>(PI()*D_ref^2/4+E_ail*ep_ail*Q_ail)/10^6</f>
        <v>9.1339816339744834E-3</v>
      </c>
      <c r="D14" s="718"/>
      <c r="E14" s="6"/>
      <c r="F14" s="3"/>
      <c r="G14" s="3"/>
      <c r="H14" s="3"/>
      <c r="I14" s="6"/>
      <c r="J14" s="3"/>
      <c r="K14" s="3"/>
      <c r="L14" s="3"/>
      <c r="M14" s="3"/>
      <c r="N14" s="79"/>
    </row>
    <row r="15" spans="1:14" ht="12.75" customHeight="1" x14ac:dyDescent="0.25">
      <c r="A15" s="80"/>
      <c r="B15" s="174" t="s">
        <v>5</v>
      </c>
      <c r="C15" s="710">
        <v>0.5</v>
      </c>
      <c r="D15" s="711"/>
      <c r="E15" s="6"/>
      <c r="F15" s="3"/>
      <c r="G15" s="3"/>
      <c r="H15" s="3"/>
      <c r="I15" s="6"/>
      <c r="J15" s="3"/>
      <c r="K15" s="3"/>
      <c r="L15" s="3"/>
      <c r="M15" s="3"/>
      <c r="N15" s="79"/>
    </row>
    <row r="16" spans="1:14" ht="12.75" customHeight="1" x14ac:dyDescent="0.25">
      <c r="A16" s="80"/>
      <c r="B16" s="3"/>
      <c r="C16" s="3"/>
      <c r="D16" s="3"/>
      <c r="E16" s="6"/>
      <c r="F16" s="6"/>
      <c r="G16" s="3"/>
      <c r="H16" s="3"/>
      <c r="I16" s="6"/>
      <c r="J16" s="3"/>
      <c r="K16" s="3"/>
      <c r="L16" s="3"/>
      <c r="M16" s="3"/>
      <c r="N16" s="79"/>
    </row>
    <row r="17" spans="1:18" ht="12.75" customHeight="1" x14ac:dyDescent="0.25">
      <c r="A17" s="80"/>
      <c r="B17" s="81"/>
      <c r="C17" s="717" t="str">
        <f>IF(Lang="Français","Rampe de Lancement",IF(Lang="English","Launch Pad",""))</f>
        <v>Rampe de Lancement</v>
      </c>
      <c r="D17" s="717"/>
      <c r="E17" s="6"/>
      <c r="F17" s="3"/>
      <c r="G17" s="3"/>
      <c r="H17" s="3"/>
      <c r="I17" s="6"/>
      <c r="J17" s="3"/>
      <c r="K17" s="3"/>
      <c r="L17" s="3"/>
      <c r="M17" s="3"/>
      <c r="N17" s="79"/>
    </row>
    <row r="18" spans="1:18" ht="12.75" customHeight="1" x14ac:dyDescent="0.25">
      <c r="A18" s="80"/>
      <c r="B18" s="173" t="str">
        <f>IF(Lang="Français","Longueur",IF(Lang="English","Length",""))</f>
        <v>Longueur</v>
      </c>
      <c r="C18" s="714">
        <f>IF(RIGHT(Type_fusee,1)=".",4, IF(LEFT(Type_fusee,4)="Mini",2.5, IF(LEFT(Type_fusee,5)="Micro",1, IF(RIGHT(Type_fusee,1)=" ",0.1,IF(LEFT(Type_fusee,1)="R",3, 2.5)))))</f>
        <v>4</v>
      </c>
      <c r="D18" s="714"/>
      <c r="E18" s="6"/>
      <c r="F18" s="3"/>
      <c r="G18" s="3"/>
      <c r="H18" s="3"/>
      <c r="I18" s="6"/>
      <c r="J18" s="3"/>
      <c r="K18" s="3"/>
      <c r="L18" s="3"/>
      <c r="M18" s="3"/>
      <c r="N18" s="79"/>
    </row>
    <row r="19" spans="1:18" ht="12.75" customHeight="1" x14ac:dyDescent="0.25">
      <c r="A19" s="80"/>
      <c r="B19" s="173" t="str">
        <f>IF(Lang="Français","Élévation",IF(Lang="English","Angle /horizon",""))</f>
        <v>Élévation</v>
      </c>
      <c r="C19" s="713">
        <v>80</v>
      </c>
      <c r="D19" s="713"/>
      <c r="E19" s="6"/>
      <c r="F19" s="3"/>
      <c r="G19" s="3"/>
      <c r="H19" s="3"/>
      <c r="I19" s="6"/>
      <c r="J19" s="3"/>
      <c r="K19" s="3"/>
      <c r="L19" s="3"/>
      <c r="M19" s="3"/>
      <c r="N19" s="79"/>
    </row>
    <row r="20" spans="1:18" ht="12.75" customHeight="1" x14ac:dyDescent="0.25">
      <c r="A20" s="80"/>
      <c r="B20" s="173" t="s">
        <v>6</v>
      </c>
      <c r="C20" s="714">
        <v>0</v>
      </c>
      <c r="D20" s="714"/>
      <c r="E20" s="6"/>
      <c r="F20" s="6"/>
      <c r="G20" s="3"/>
      <c r="H20" s="3"/>
      <c r="I20" s="6"/>
      <c r="J20" s="3"/>
      <c r="K20" s="3"/>
      <c r="L20" s="3"/>
      <c r="M20" s="3"/>
      <c r="N20" s="79"/>
    </row>
    <row r="21" spans="1:18" ht="12.75" customHeight="1" x14ac:dyDescent="0.25">
      <c r="A21" s="80"/>
      <c r="B21" s="3"/>
      <c r="C21" s="3"/>
      <c r="D21" s="3"/>
      <c r="E21" s="3"/>
      <c r="F21" s="445" t="str">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G21" s="3"/>
      <c r="H21" s="3"/>
      <c r="I21" s="3"/>
      <c r="J21" s="3"/>
      <c r="K21" s="3"/>
      <c r="L21" s="3"/>
      <c r="M21" s="3"/>
      <c r="N21" s="79"/>
    </row>
    <row r="22" spans="1:18" x14ac:dyDescent="0.25">
      <c r="A22" s="80"/>
      <c r="B22" s="3"/>
      <c r="C22" s="719" t="str">
        <f>IF(Lang="Français","DescenteSousParachute",IF(Lang="English","Over Parachute",""))</f>
        <v>DescenteSousParachute</v>
      </c>
      <c r="D22" s="720"/>
      <c r="E22" s="3"/>
      <c r="F22" s="10"/>
      <c r="G22" s="71">
        <f ca="1">TODAY()</f>
        <v>44888</v>
      </c>
      <c r="H22" s="578" t="str">
        <f>IF(Lang="Français","Temps",IF(Lang="English","Time",""))</f>
        <v>Temps</v>
      </c>
      <c r="I22" s="578" t="s">
        <v>12</v>
      </c>
      <c r="J22" s="578" t="str">
        <f>IF(Lang="Français","Portée x",IF(Lang="English","Range x",""))</f>
        <v>Portée x</v>
      </c>
      <c r="K22" s="578" t="str">
        <f>IF(Lang="Français","Vitesse",IF(Lang="English","Velocity",""))</f>
        <v>Vitesse</v>
      </c>
      <c r="L22" s="579" t="s">
        <v>13</v>
      </c>
      <c r="M22" s="588" t="s">
        <v>423</v>
      </c>
      <c r="N22" s="79"/>
    </row>
    <row r="23" spans="1:18" x14ac:dyDescent="0.25">
      <c r="A23" s="80"/>
      <c r="B23" s="81"/>
      <c r="C23" s="175" t="str">
        <f>C7</f>
        <v>Fusée</v>
      </c>
      <c r="D23" s="258" t="s">
        <v>121</v>
      </c>
      <c r="E23" s="3"/>
      <c r="F23" s="721" t="str">
        <f>IF(Lang="Français","Sortie de Rampe",IF(Lang="English","Launch-Pad Exit",""))</f>
        <v>Sortie de Rampe</v>
      </c>
      <c r="G23" s="722"/>
      <c r="H23" s="580"/>
      <c r="I23" s="580"/>
      <c r="J23" s="580"/>
      <c r="K23" s="581">
        <f ca="1">INDEX(vit_xz,MATCH("Sortie de rampe",Event,0))</f>
        <v>24.697246019645213</v>
      </c>
      <c r="L23" s="582"/>
      <c r="M23" s="589"/>
      <c r="N23" s="79"/>
    </row>
    <row r="24" spans="1:18" x14ac:dyDescent="0.25">
      <c r="A24" s="80"/>
      <c r="B24" s="550" t="str">
        <f>IF(Lang="Français","Masse",IF(Lang="English","Mass",""))</f>
        <v>Masse</v>
      </c>
      <c r="C24" s="551">
        <f ca="1">IF(Nb_sat="0 satellite",MasseVide,MasseVide-m_satellite)</f>
        <v>10.638</v>
      </c>
      <c r="D24" s="568">
        <f>IF(RIGHT(Type_fusee,1)=".",1,0.15)</f>
        <v>1</v>
      </c>
      <c r="E24" s="28" t="str">
        <f>IF(ABS(T_satellite-0.11-T_para)&lt;0.1,"Pb!","")</f>
        <v/>
      </c>
      <c r="F24" s="724" t="str">
        <f>IF(Lang="Français","Vit max &amp; Acc max",IF(Lang="English","Max Velocity &amp; Acc",""))</f>
        <v>Vit max &amp; Acc max</v>
      </c>
      <c r="G24" s="704"/>
      <c r="H24" s="144"/>
      <c r="I24" s="144"/>
      <c r="J24" s="144"/>
      <c r="K24" s="191">
        <f ca="1">MAX(vit_xz)</f>
        <v>249.42595514291844</v>
      </c>
      <c r="L24" s="583">
        <f ca="1">MAX(acc_xz)</f>
        <v>92.916225100527598</v>
      </c>
      <c r="M24" s="589"/>
      <c r="N24" s="79"/>
    </row>
    <row r="25" spans="1:18" x14ac:dyDescent="0.25">
      <c r="A25" s="80"/>
      <c r="B25" s="554" t="str">
        <f>IF(Lang="Français","Dépotage",IF(Lang="English","Delay",""))</f>
        <v>Dépotage</v>
      </c>
      <c r="C25" s="594" t="s">
        <v>409</v>
      </c>
      <c r="D25" s="567"/>
      <c r="E25" s="3"/>
      <c r="F25" s="725" t="str">
        <f>IF(Lang="Français","Largage du satellite",IF(Lang="English","Satellite separation",""))</f>
        <v>Largage du satellite</v>
      </c>
      <c r="G25" s="706"/>
      <c r="H25" s="185">
        <f>IF(T_satellite&lt;&gt;0,T_satellite,"")</f>
        <v>3.5</v>
      </c>
      <c r="I25" s="189">
        <f ca="1">IF(T_satellite&lt;&gt;0,INDEX(pos_z,MATCH("Satellite",Event_sat,0)),"")</f>
        <v>414.0801952554412</v>
      </c>
      <c r="J25" s="187">
        <f ca="1">IF(T_satellite&lt;&gt;0,INDEX(pos_x,MATCH("Satellite",Event_sat,0)),"")</f>
        <v>93.398582985515191</v>
      </c>
      <c r="K25" s="192">
        <f ca="1">IF(T_satellite&lt;&gt;0,INDEX(vit_xz,MATCH("Satellite",Event_sat,0)),"")</f>
        <v>221.73763609892308</v>
      </c>
      <c r="L25" s="584"/>
      <c r="M25" s="573">
        <f ca="1">1/2*Rho_moyen*1*V_ouv_sat^2*S_satellite</f>
        <v>3011.5142298427295</v>
      </c>
      <c r="N25" s="79"/>
    </row>
    <row r="26" spans="1:18" x14ac:dyDescent="0.25">
      <c r="A26" s="80"/>
      <c r="B26" s="552" t="str">
        <f>IF(Lang="Français","Ouverture para",IF(Lang="English","Opening time",""))</f>
        <v>Ouverture para</v>
      </c>
      <c r="C26" s="596">
        <v>21</v>
      </c>
      <c r="D26" s="553">
        <v>3.5</v>
      </c>
      <c r="E26" s="3"/>
      <c r="F26" s="724" t="s">
        <v>15</v>
      </c>
      <c r="G26" s="704"/>
      <c r="H26" s="186">
        <f ca="1">INDEX(t,MATCH("Apogée",Event,0))</f>
        <v>22.399999999999988</v>
      </c>
      <c r="I26" s="190">
        <f ca="1">INDEX(pos_z,MATCH("Apogée",Event,0))</f>
        <v>2493.3072967125281</v>
      </c>
      <c r="J26" s="188">
        <f ca="1">INDEX(pos_x,MATCH("Apogée",Event,0))</f>
        <v>964.23948841338267</v>
      </c>
      <c r="K26" s="193">
        <f ca="1">INDEX(vit_xz,MATCH("Apogée",Event,0))</f>
        <v>38.487796957243191</v>
      </c>
      <c r="L26" s="585"/>
      <c r="M26" s="589"/>
      <c r="N26" s="79"/>
    </row>
    <row r="27" spans="1:18" x14ac:dyDescent="0.25">
      <c r="A27" s="80"/>
      <c r="B27" s="174" t="s">
        <v>9</v>
      </c>
      <c r="C27" s="263">
        <f>S_para_rond</f>
        <v>3.1101767270538949</v>
      </c>
      <c r="D27" s="26">
        <f>IF(RIGHT(Type_fusee,1)=".",0.1,0.02)</f>
        <v>0.1</v>
      </c>
      <c r="E27" s="3"/>
      <c r="F27" s="723" t="str">
        <f>IF(Lang="Français","Ouverture parachute fusée",IF(Lang="English","Rocket parachute opening",""))</f>
        <v>Ouverture parachute fusée</v>
      </c>
      <c r="G27" s="709"/>
      <c r="H27" s="185">
        <f>T_para</f>
        <v>21</v>
      </c>
      <c r="I27" s="189">
        <f ca="1">INDEX(pos_z,MATCH("Para",Event_para,0))</f>
        <v>2482.7231990371388</v>
      </c>
      <c r="J27" s="574">
        <f ca="1">INDEX(pos_x,MATCH("Para",Event_para,0))</f>
        <v>910.06063055066556</v>
      </c>
      <c r="K27" s="192">
        <f ca="1">INDEX(vit_xz,MATCH("Para",Event_para,0))</f>
        <v>41.53174982448413</v>
      </c>
      <c r="L27" s="584"/>
      <c r="M27" s="573">
        <f ca="1">1/2*Rho_moyen*1*V_ouverture^2*S_para</f>
        <v>3285.8793939199741</v>
      </c>
      <c r="N27" s="79"/>
      <c r="P27" s="566" t="str">
        <f ca="1">IF(V_para&lt;5, IF(Lang="Français","Parachute fusée trop grand !","Parachute too big!"), IF( V_para&gt;15, IF(Lang="Français","Parachute fusée trop petit !","Parachute too small!"), ""))</f>
        <v/>
      </c>
      <c r="R27" s="566" t="str">
        <f>IF(AND(Nb_sat="1 satellite", OR(V_satellite&lt;5)), IF(Lang="Français","Parachute satéllite trop grand !","Parachute too big"), IF(AND(Nb_sat="1 satellite",OR(V_satellite&gt;15)), IF(Lang="Français","Parachute satéllite trop petit !","Parachute too small!"), ""))</f>
        <v/>
      </c>
    </row>
    <row r="28" spans="1:18" x14ac:dyDescent="0.25">
      <c r="A28" s="80"/>
      <c r="B28" s="174" t="s">
        <v>10</v>
      </c>
      <c r="C28" s="176">
        <v>1</v>
      </c>
      <c r="D28" s="176">
        <v>1</v>
      </c>
      <c r="E28" s="3"/>
      <c r="F28" s="728" t="str">
        <f>IF(Lang="Français","Impact balistique",IF(Lang="English","Balistic Impact",""))</f>
        <v>Impact balistique</v>
      </c>
      <c r="G28" s="729"/>
      <c r="H28" s="586">
        <f ca="1">INDEX(t,MATCH("Impact balistique",Event,0))</f>
        <v>47.40000000000034</v>
      </c>
      <c r="I28" s="607" t="s">
        <v>430</v>
      </c>
      <c r="J28" s="575">
        <f ca="1">INDEX(pos_x,MATCH("Impact balistique",Event,0))</f>
        <v>1741.4112148507097</v>
      </c>
      <c r="K28" s="590">
        <f ca="1">K45</f>
        <v>169.04492213884538</v>
      </c>
      <c r="L28" s="587"/>
      <c r="M28" s="591">
        <f ca="1">0.5*m_vide*K28^2</f>
        <v>151996.73174323761</v>
      </c>
      <c r="N28" s="79"/>
      <c r="P28" s="566" t="str">
        <f ca="1">IF( OR( V_para&lt;5, V_para&gt;15, AND(Nb_sat="1 satellite", OR(V_satellite&lt;5, V_satellite&gt;15))), IF(Lang="Français","La Vitesse de descente sous parachute doit être comprise entre 5 &amp; 15 m/s.","Fall Velocity with parachute must be between 5 &amp; 15 m/s."), "")</f>
        <v/>
      </c>
    </row>
    <row r="29" spans="1:18" x14ac:dyDescent="0.25">
      <c r="A29" s="80"/>
      <c r="B29" s="174" t="str">
        <f>IF(Lang="Français","Vitesse du vent",IF(Lang="English","Wind speed",""))</f>
        <v>Vitesse du vent</v>
      </c>
      <c r="C29" s="177">
        <v>5</v>
      </c>
      <c r="D29" s="177">
        <f>V_vent</f>
        <v>5</v>
      </c>
      <c r="E29" s="28" t="str">
        <f>IF(AND(T_satellite=0,m_satellite&lt;&gt;0),"Erreur !","")</f>
        <v/>
      </c>
      <c r="F29" s="576"/>
      <c r="G29" s="571"/>
      <c r="H29" s="572"/>
      <c r="I29" s="577"/>
      <c r="K29" s="3"/>
      <c r="L29" s="3"/>
      <c r="M29" s="3"/>
      <c r="N29" s="79"/>
      <c r="P29" s="566" t="str">
        <f ca="1">IF(AND(Portee_balistique&gt;200,LEFT(Type_propu,4)="Mini"),IF(Lang="Français","Fusée trop lègère !","Rocket too light"),"")</f>
        <v/>
      </c>
    </row>
    <row r="30" spans="1:18" x14ac:dyDescent="0.25">
      <c r="A30" s="80"/>
      <c r="B30" s="166" t="str">
        <f>IF(Lang="Français","Vitesse descente",IF(Lang="English","Fall velocity",""))</f>
        <v>Vitesse descente</v>
      </c>
      <c r="C30" s="488">
        <f ca="1">SQRT(2*m_vide*g/Rho_moyen/S_para/Cx_para)</f>
        <v>7.4014859065283671</v>
      </c>
      <c r="D30" s="488">
        <f>SQRT(2*m_satellite*g/Rho_moyen/S_satellite/Cx_satellite)</f>
        <v>12.655562623057198</v>
      </c>
      <c r="E30" s="3"/>
      <c r="F30" s="445"/>
      <c r="G30" s="3"/>
      <c r="H30" s="3"/>
      <c r="I30" s="3"/>
      <c r="J30" s="3"/>
      <c r="K30" s="449"/>
      <c r="L30" s="3"/>
      <c r="M30" s="3"/>
      <c r="N30" s="79"/>
      <c r="P30" s="566" t="str">
        <f ca="1">IF(OR(AND(Vsortie_de_rampe&lt;20,LEFT(Type_fusee,1)="F"),AND(Vsortie_de_rampe&lt;18, OR(LEFT(Type_fusee,1)=",",LEFT(Type_fusee,4)="Mini",LEFT(Type_fusee,1)="R"))),IF(Lang="Français","Fusée trop lourde ou rampe trop courte !","Rocket too heavy or launch pad too small!"),"")</f>
        <v/>
      </c>
    </row>
    <row r="31" spans="1:18" x14ac:dyDescent="0.25">
      <c r="A31" s="80"/>
      <c r="B31" s="166" t="str">
        <f>IF(Lang="Français","Durée descente",IF(Lang="English","Fall duration",""))</f>
        <v>Durée descente</v>
      </c>
      <c r="C31" s="165">
        <f ca="1">Alt_para/V_para</f>
        <v>335.43578011103023</v>
      </c>
      <c r="D31" s="165">
        <f ca="1">IF(V_satellite&lt;&gt;0,Alt_sat/V_satellite,0)</f>
        <v>32.71922454881836</v>
      </c>
      <c r="E31" s="3"/>
      <c r="F31" s="3"/>
      <c r="G31" s="3"/>
      <c r="H31" s="730" t="str">
        <f>IF(Lang="Français","Pour localiser la fusée","To locate the rocket")</f>
        <v>Pour localiser la fusée</v>
      </c>
      <c r="I31" s="730"/>
      <c r="J31" s="570"/>
      <c r="L31" s="3"/>
      <c r="M31" s="3"/>
      <c r="N31" s="456"/>
      <c r="P31" s="566" t="str">
        <f ca="1">IF(Temps_culmi-T_para&gt;2,IF(Lang="Français","Ouverture parachute fusée précoce.","Early rocket parachute opening."),IF(Temps_culmi-T_para&lt;-2,IF(Lang="Français","Ouverture parachute fusée tardive.","Late rocket parachute opening."),""))</f>
        <v/>
      </c>
    </row>
    <row r="32" spans="1:18" x14ac:dyDescent="0.25">
      <c r="A32" s="80"/>
      <c r="B32" s="166" t="str">
        <f>IF(Lang="Français","Durée du vol",IF(Lang="English","Fligth duration",""))</f>
        <v>Durée du vol</v>
      </c>
      <c r="C32" s="165">
        <f ca="1">T_para+Dt_para</f>
        <v>356.43578011103023</v>
      </c>
      <c r="D32" s="165">
        <f ca="1">T_satellite+Dt_satellite</f>
        <v>36.21922454881836</v>
      </c>
      <c r="E32" s="3"/>
      <c r="F32" s="730" t="str">
        <f>IF(Lang="Français","Couleur fuselage/coiffe","Body/Nose color")</f>
        <v>Couleur fuselage/coiffe</v>
      </c>
      <c r="G32" s="730"/>
      <c r="H32" s="726" t="s">
        <v>267</v>
      </c>
      <c r="I32" s="727"/>
      <c r="J32" s="3"/>
      <c r="L32" s="3"/>
      <c r="M32" s="3"/>
      <c r="N32" s="455"/>
      <c r="P32" s="566" t="str">
        <f ca="1">IF(ABS(Temps_culmi-T_para)&gt;2,IF(Lang="Français","Attention, aux efforts sur le parachute lors de l'ouverture !","Becarefull to the opening chute efforts!"),"")</f>
        <v/>
      </c>
    </row>
    <row r="33" spans="1:16" customFormat="1" x14ac:dyDescent="0.25">
      <c r="A33" s="96"/>
      <c r="B33" s="166" t="str">
        <f>IF(Lang="Français","Déport latéral",IF(Lang="English","Lateral shift",""))</f>
        <v>Déport latéral</v>
      </c>
      <c r="C33" s="184">
        <f ca="1">Alt_para*V_vent/V_para</f>
        <v>1677.1789005551511</v>
      </c>
      <c r="D33" s="184">
        <f ca="1">IF(V_satellite&lt;&gt;0,Alt_sat*V_vent_sat/V_satellite,0)</f>
        <v>163.59612274409182</v>
      </c>
      <c r="E33" s="81"/>
      <c r="F33" s="730" t="str">
        <f>IF(Lang="Français","Couleur parachute fusée","Rocket parachute color")</f>
        <v>Couleur parachute fusée</v>
      </c>
      <c r="G33" s="730"/>
      <c r="H33" s="726" t="s">
        <v>268</v>
      </c>
      <c r="I33" s="727"/>
      <c r="J33" s="81"/>
      <c r="K33" s="81"/>
      <c r="L33" s="81"/>
      <c r="M33" s="81"/>
      <c r="N33" s="455" t="str">
        <f>IF(Lang="Français","fichier initial","Initial file")</f>
        <v>fichier initial</v>
      </c>
    </row>
    <row r="34" spans="1:16" x14ac:dyDescent="0.25">
      <c r="A34" s="80"/>
      <c r="B34" s="3"/>
      <c r="C34" s="3"/>
      <c r="D34" s="3"/>
      <c r="E34" s="3"/>
      <c r="F34" s="730" t="str">
        <f>IF(Lang="Français","Couleur parachute satellite","Satellite parachute color")</f>
        <v>Couleur parachute satellite</v>
      </c>
      <c r="G34" s="730"/>
      <c r="H34" s="734" t="s">
        <v>159</v>
      </c>
      <c r="I34" s="734"/>
      <c r="J34" s="3"/>
      <c r="K34" s="3"/>
      <c r="L34" s="3"/>
      <c r="M34" s="3"/>
      <c r="N34" s="454" t="str">
        <f>IF(ROUND(SUM(Propu!5:1228),0)=395253,"propu OK","propu NOK")</f>
        <v>propu OK</v>
      </c>
      <c r="P34"/>
    </row>
    <row r="35" spans="1:16" ht="13.8" thickBot="1" x14ac:dyDescent="0.3">
      <c r="A35" s="82"/>
      <c r="B35" s="215" t="str">
        <f>IF(Lang="Français","Commentaire libre :",IF(Lang="English","Free comment:",""))</f>
        <v>Commentaire libre :</v>
      </c>
      <c r="C35" s="83"/>
      <c r="D35" s="83"/>
      <c r="E35" s="83"/>
      <c r="F35" s="83"/>
      <c r="G35" s="83"/>
      <c r="H35" s="83"/>
      <c r="I35" s="83"/>
      <c r="J35" s="83"/>
      <c r="K35" s="83"/>
      <c r="L35" s="83"/>
      <c r="M35" s="83"/>
      <c r="N35" s="340" t="s">
        <v>546</v>
      </c>
      <c r="P35"/>
    </row>
    <row r="38" spans="1:16" x14ac:dyDescent="0.25">
      <c r="A38" s="731" t="str">
        <f>IF(Lang="Français","Calcul de la surface d'un parachute","Parachute surface calculation")</f>
        <v>Calcul de la surface d'un parachute</v>
      </c>
      <c r="B38" s="732"/>
      <c r="C38" s="732"/>
      <c r="D38" s="733"/>
      <c r="F38" s="731" t="str">
        <f>IF(Lang="Français","Résultats détaillés","Detailled results")</f>
        <v>Résultats détaillés</v>
      </c>
      <c r="G38" s="733"/>
      <c r="H38" s="203" t="str">
        <f>IF(Lang="Français","Temps",IF(Lang="English","Time",""))</f>
        <v>Temps</v>
      </c>
      <c r="I38" s="167" t="s">
        <v>12</v>
      </c>
      <c r="J38" s="167" t="str">
        <f>IF(Lang="Français","Portée x",IF(Lang="English","Range x",""))</f>
        <v>Portée x</v>
      </c>
      <c r="K38" s="167" t="str">
        <f>IF(Lang="Français","Vitesse",IF(Lang="English","Velocity",""))</f>
        <v>Vitesse</v>
      </c>
      <c r="L38" s="168" t="s">
        <v>13</v>
      </c>
      <c r="M38" s="167" t="s">
        <v>42</v>
      </c>
    </row>
    <row r="39" spans="1:16" x14ac:dyDescent="0.25">
      <c r="A39" s="194"/>
      <c r="B39" s="3"/>
      <c r="C39" s="3"/>
      <c r="D39" s="195"/>
      <c r="F39" s="205"/>
      <c r="G39" s="206"/>
      <c r="H39" s="204" t="s">
        <v>154</v>
      </c>
      <c r="I39" s="169" t="s">
        <v>39</v>
      </c>
      <c r="J39" s="169" t="s">
        <v>39</v>
      </c>
      <c r="K39" s="169" t="s">
        <v>155</v>
      </c>
      <c r="L39" s="169" t="s">
        <v>7</v>
      </c>
      <c r="M39" s="169" t="s">
        <v>156</v>
      </c>
    </row>
    <row r="40" spans="1:16" x14ac:dyDescent="0.25">
      <c r="A40" s="194"/>
      <c r="B40" s="3"/>
      <c r="C40" s="3"/>
      <c r="D40" s="195"/>
      <c r="F40" s="703" t="str">
        <f>IF(Lang="Français","Décollage",IF(Lang="English","Lift-Off",""))</f>
        <v>Décollage</v>
      </c>
      <c r="G40" s="703"/>
      <c r="H40" s="183">
        <v>0</v>
      </c>
      <c r="I40" s="183">
        <v>0</v>
      </c>
      <c r="J40" s="183">
        <v>0</v>
      </c>
      <c r="K40" s="183">
        <v>0</v>
      </c>
      <c r="L40" s="181" t="s">
        <v>14</v>
      </c>
      <c r="M40" s="182">
        <f>Beta_rampe</f>
        <v>80</v>
      </c>
    </row>
    <row r="41" spans="1:16" x14ac:dyDescent="0.25">
      <c r="A41" s="194"/>
      <c r="B41" s="3"/>
      <c r="C41" s="3"/>
      <c r="D41" s="195"/>
      <c r="F41" s="704" t="str">
        <f>IF(Lang="Français","Sortie de Rampe",IF(Lang="English","Launch-Pad Exit",""))</f>
        <v>Sortie de Rampe</v>
      </c>
      <c r="G41" s="704"/>
      <c r="H41" s="144">
        <f ca="1">INDEX(t,MATCH("Sortie de rampe",Event,0))</f>
        <v>0.34000000000000014</v>
      </c>
      <c r="I41" s="144">
        <f ca="1">INDEX(pos_z,MATCH("Sortie de rampe",Event,0))</f>
        <v>3.8357228551596076</v>
      </c>
      <c r="J41" s="144">
        <f ca="1">INDEX(pos_x,MATCH("Sortie de rampe",Event,0))</f>
        <v>0.67630283294684612</v>
      </c>
      <c r="K41" s="145">
        <f ca="1">INDEX(vit_xz,MATCH("Sortie de rampe",Event,0))</f>
        <v>24.697246019645213</v>
      </c>
      <c r="L41" s="146">
        <f ca="1">INDEX(acc_xz,MATCH("Sortie de rampe",Event,0))</f>
        <v>74.469049176687022</v>
      </c>
      <c r="M41" s="146">
        <f ca="1">INDEX(BetaD,MATCH("Sortie de rampe",Event,0))</f>
        <v>80</v>
      </c>
    </row>
    <row r="42" spans="1:16" x14ac:dyDescent="0.25">
      <c r="A42" s="194"/>
      <c r="B42" s="199" t="str">
        <f>IF(Lang="Français","Longeur du bord","Side length")</f>
        <v>Longeur du bord</v>
      </c>
      <c r="C42" s="3"/>
      <c r="D42" s="195"/>
      <c r="F42" s="704" t="str">
        <f>IF(Lang="Français","Vit max &amp; Acc max",IF(Lang="English","Max Velocity &amp; Acc",""))</f>
        <v>Vit max &amp; Acc max</v>
      </c>
      <c r="G42" s="704"/>
      <c r="H42" s="144" t="s">
        <v>14</v>
      </c>
      <c r="I42" s="144" t="s">
        <v>14</v>
      </c>
      <c r="J42" s="144" t="s">
        <v>14</v>
      </c>
      <c r="K42" s="147">
        <f ca="1">MAX(vit_xz)</f>
        <v>249.42595514291844</v>
      </c>
      <c r="L42" s="148">
        <f ca="1">MAX(acc_xz)</f>
        <v>92.916225100527598</v>
      </c>
      <c r="M42" s="145" t="s">
        <v>14</v>
      </c>
    </row>
    <row r="43" spans="1:16" x14ac:dyDescent="0.25">
      <c r="A43" s="194"/>
      <c r="B43" s="200">
        <v>400</v>
      </c>
      <c r="C43" s="3"/>
      <c r="D43" s="195"/>
      <c r="F43" s="704" t="str">
        <f>IF(Lang="Français","Fin de Propulsion",IF(Lang="English","Motor Burn-Out",""))</f>
        <v>Fin de Propulsion</v>
      </c>
      <c r="G43" s="704"/>
      <c r="H43" s="146">
        <f ca="1">INDEX(t,MATCH("Fin de propulsion",Event,0))</f>
        <v>4.6899999999999444</v>
      </c>
      <c r="I43" s="149">
        <f ca="1">INDEX(pos_z,MATCH("Fin de propulsion",Event,0))</f>
        <v>691.6424980206607</v>
      </c>
      <c r="J43" s="149">
        <f ca="1">INDEX(pos_x,MATCH("Fin de propulsion",Event,0))</f>
        <v>162.47762277223023</v>
      </c>
      <c r="K43" s="150">
        <f ca="1">INDEX(vit_xz,MATCH("Fin de propulsion",Event,0))</f>
        <v>245.87031629425695</v>
      </c>
      <c r="L43" s="146">
        <f ca="1">INDEX(acc_xz,MATCH("Fin de propulsion",Event,0))</f>
        <v>24.492616173866423</v>
      </c>
      <c r="M43" s="146">
        <f ca="1">INDEX(BetaD,MATCH("Fin de propulsion",Event,0))</f>
        <v>75.698821056119058</v>
      </c>
    </row>
    <row r="44" spans="1:16" x14ac:dyDescent="0.25">
      <c r="A44" s="194"/>
      <c r="B44" s="199" t="str">
        <f>IF(Lang="Français","Largeur du coté","Side width")</f>
        <v>Largeur du coté</v>
      </c>
      <c r="C44" s="3"/>
      <c r="D44" s="195"/>
      <c r="F44" s="704" t="s">
        <v>15</v>
      </c>
      <c r="G44" s="704"/>
      <c r="H44" s="148">
        <f ca="1">INDEX(t,MATCH("Apogée",Event,0))</f>
        <v>22.399999999999988</v>
      </c>
      <c r="I44" s="147">
        <f ca="1">INDEX(pos_z,MATCH("Apogée",Event,0))</f>
        <v>2493.3072967125281</v>
      </c>
      <c r="J44" s="151">
        <f ca="1">INDEX(pos_x,MATCH("Apogée",Event,0))</f>
        <v>964.23948841338267</v>
      </c>
      <c r="K44" s="151">
        <f ca="1">INDEX(vit_xz,MATCH("Apogée",Event,0))</f>
        <v>38.487796957243191</v>
      </c>
      <c r="L44" s="145">
        <f ca="1">INDEX(acc_xz,MATCH("Apogée",Event,0))</f>
        <v>9.8276571798507462</v>
      </c>
      <c r="M44" s="152">
        <f ca="1">INDEX(BetaD,MATCH("Apogée",Event,0))</f>
        <v>0.98317878251513835</v>
      </c>
    </row>
    <row r="45" spans="1:16" x14ac:dyDescent="0.25">
      <c r="A45" s="194"/>
      <c r="B45" s="201">
        <v>300</v>
      </c>
      <c r="C45" s="3"/>
      <c r="D45" s="195"/>
      <c r="F45" s="707" t="str">
        <f>IF(Lang="Français","Impact balistique",IF(Lang="English","Balistic Impact",""))</f>
        <v>Impact balistique</v>
      </c>
      <c r="G45" s="707"/>
      <c r="H45" s="145">
        <f ca="1">INDEX(t,MATCH("Impact balistique",Event,0))</f>
        <v>47.40000000000034</v>
      </c>
      <c r="I45" s="181" t="s">
        <v>16</v>
      </c>
      <c r="J45" s="147">
        <f ca="1">INDEX(pos_x,MATCH("Impact balistique",Event,0))</f>
        <v>1741.4112148507097</v>
      </c>
      <c r="K45" s="150">
        <f ca="1">INDEX(vit_xz,MATCH("Impact balistique",Event,0))</f>
        <v>169.04492213884538</v>
      </c>
      <c r="L45" s="145">
        <f ca="1">INDEX(acc_xz,MATCH("Impact balistique",Event,0))</f>
        <v>2.5441176622632788</v>
      </c>
      <c r="M45" s="145">
        <f ca="1">INDEX(BetaD,MATCH("Impact balistique",Event,0))</f>
        <v>-83.008403072935351</v>
      </c>
    </row>
    <row r="46" spans="1:16" x14ac:dyDescent="0.25">
      <c r="A46" s="194"/>
      <c r="B46" s="202" t="s">
        <v>9</v>
      </c>
      <c r="C46" s="3"/>
      <c r="D46" s="195"/>
      <c r="F46" s="709" t="str">
        <f>IF(Lang="Français","Ouverture parachute fusée",IF(Lang="English","Rocket parachute opening",""))</f>
        <v>Ouverture parachute fusée</v>
      </c>
      <c r="G46" s="709"/>
      <c r="H46" s="153">
        <f>T_para</f>
        <v>21</v>
      </c>
      <c r="I46" s="154">
        <f ca="1">INDEX(pos_z,MATCH("Para",Event_para,0))</f>
        <v>2482.7231990371388</v>
      </c>
      <c r="J46" s="154">
        <f ca="1">INDEX(pos_x,MATCH("Para",Event_para,0))</f>
        <v>910.06063055066556</v>
      </c>
      <c r="K46" s="154">
        <f ca="1">INDEX(vit_xz,MATCH("Para",Event_para,0))</f>
        <v>41.53174982448413</v>
      </c>
      <c r="L46" s="155">
        <f ca="1">INDEX(acc_xz,MATCH("Para",Event_para,0))</f>
        <v>9.9486119541218674</v>
      </c>
      <c r="M46" s="156">
        <f ca="1">INDEX(BetaD,MATCH("Para",Event_para,0))</f>
        <v>20.415309791814689</v>
      </c>
    </row>
    <row r="47" spans="1:16" x14ac:dyDescent="0.25">
      <c r="A47" s="194"/>
      <c r="B47" s="207">
        <f>(4*B43*B45+B43^2)/10^6</f>
        <v>0.64</v>
      </c>
      <c r="C47" s="3"/>
      <c r="D47" s="195"/>
      <c r="F47" s="708" t="str">
        <f>IF(Lang="Français","Impact fusée sous para.",IF(Lang="English","Impact of rocket with para. ",""))</f>
        <v>Impact fusée sous para.</v>
      </c>
      <c r="G47" s="708"/>
      <c r="H47" s="157">
        <f ca="1">T_para+Dt_para</f>
        <v>356.43578011103023</v>
      </c>
      <c r="I47" s="159" t="s">
        <v>16</v>
      </c>
      <c r="J47" s="158" t="str">
        <f ca="1">CONCATENATE(TEXT(X_para-Dx_para,"0")," | ",TEXT(X_para+Dx_para,"0"))</f>
        <v>-767 | 2587</v>
      </c>
      <c r="K47" s="160">
        <f ca="1">V_para</f>
        <v>7.4014859065283671</v>
      </c>
      <c r="L47" s="161">
        <f>g</f>
        <v>9.81</v>
      </c>
      <c r="M47" s="161" t="s">
        <v>14</v>
      </c>
    </row>
    <row r="48" spans="1:16" x14ac:dyDescent="0.25">
      <c r="A48" s="194"/>
      <c r="B48" s="3"/>
      <c r="C48" s="3"/>
      <c r="D48" s="195"/>
      <c r="F48" s="705" t="str">
        <f>IF(Lang="Français","Largage du satellite",IF(Lang="English","Satellite separation",""))</f>
        <v>Largage du satellite</v>
      </c>
      <c r="G48" s="706"/>
      <c r="H48" s="153">
        <f>IF(T_satellite&lt;&gt;0,T_satellite,"")</f>
        <v>3.5</v>
      </c>
      <c r="I48" s="154">
        <f ca="1">IF(T_satellite&lt;&gt;0,INDEX(pos_z,MATCH("Satellite",Event_sat,0)),"")</f>
        <v>414.0801952554412</v>
      </c>
      <c r="J48" s="162">
        <f ca="1">IF(T_satellite&lt;&gt;0,INDEX(pos_x,MATCH("Satellite",Event_sat,0)),"")</f>
        <v>93.398582985515191</v>
      </c>
      <c r="K48" s="154">
        <f ca="1">IF(T_satellite&lt;&gt;0,INDEX(vit_xz,MATCH("Satellite",Event_sat,0)),"")</f>
        <v>221.73763609892308</v>
      </c>
      <c r="L48" s="155">
        <f ca="1">IF(T_satellite&lt;&gt;0,INDEX(acc_xz,MATCH("Satellite",Event_sat,0)),"")</f>
        <v>40.321275786123053</v>
      </c>
      <c r="M48" s="156">
        <f ca="1">IF(T_satellite&lt;&gt;0,INDEX(BetaD,MATCH("Satellite",Event_sat,0)),"")</f>
        <v>76.370725230404986</v>
      </c>
    </row>
    <row r="49" spans="1:13" x14ac:dyDescent="0.25">
      <c r="A49" s="194"/>
      <c r="B49" s="3"/>
      <c r="C49" s="3"/>
      <c r="D49" s="195"/>
      <c r="F49" s="701" t="str">
        <f>IF(Lang="Français","Impact du satellite",IF(Lang="English","Satellite impact",""))</f>
        <v>Impact du satellite</v>
      </c>
      <c r="G49" s="702"/>
      <c r="H49" s="157">
        <f ca="1">IF(T_satellite&lt;&gt;0,T_satellite+Dt_satellite,"")</f>
        <v>36.21922454881836</v>
      </c>
      <c r="I49" s="163" t="str">
        <f>IF(T_satellite&lt;&gt;0,"~0","")</f>
        <v>~0</v>
      </c>
      <c r="J49" s="163" t="str">
        <f ca="1">IF(T_satellite&lt;&gt;0,CONCATENATE(TEXT(X_satellite-Dx_sat,"0")," | ",TEXT(X_satellite+Dx_sat,"0")),"")</f>
        <v>-70 | 257</v>
      </c>
      <c r="K49" s="163">
        <f>IF(T_satellite&lt;&gt;0,V_satellite,"")</f>
        <v>12.655562623057198</v>
      </c>
      <c r="L49" s="161">
        <f>IF(T_satellite&lt;&gt;0,g,"")</f>
        <v>9.81</v>
      </c>
      <c r="M49" s="164" t="str">
        <f>IF(T_satellite&lt;&gt;0,"-","")</f>
        <v>-</v>
      </c>
    </row>
    <row r="50" spans="1:13" x14ac:dyDescent="0.25">
      <c r="A50" s="194"/>
      <c r="B50" s="199" t="str">
        <f>IF(Lang="Français","Rayon exterieur","Half-diameter ext")</f>
        <v>Rayon exterieur</v>
      </c>
      <c r="C50" s="3"/>
      <c r="D50" s="195"/>
    </row>
    <row r="51" spans="1:13" x14ac:dyDescent="0.25">
      <c r="A51" s="194"/>
      <c r="B51" s="201">
        <v>1000</v>
      </c>
      <c r="C51" s="3"/>
      <c r="D51" s="195"/>
    </row>
    <row r="52" spans="1:13" x14ac:dyDescent="0.25">
      <c r="A52" s="194"/>
      <c r="B52" s="199" t="str">
        <f>IF(Lang="Français","Rayon intérieur","Half-diameter int")</f>
        <v>Rayon intérieur</v>
      </c>
      <c r="C52" s="3"/>
      <c r="D52" s="195"/>
    </row>
    <row r="53" spans="1:13" x14ac:dyDescent="0.25">
      <c r="A53" s="194"/>
      <c r="B53" s="201">
        <v>100</v>
      </c>
      <c r="C53" s="3"/>
      <c r="D53" s="195"/>
    </row>
    <row r="54" spans="1:13" x14ac:dyDescent="0.25">
      <c r="A54" s="194"/>
      <c r="B54" s="202" t="s">
        <v>9</v>
      </c>
      <c r="C54" s="3"/>
      <c r="D54" s="195"/>
    </row>
    <row r="55" spans="1:13" x14ac:dyDescent="0.25">
      <c r="A55" s="194"/>
      <c r="B55" s="207">
        <f>PI()*(B51^2-B53^2)/10^6</f>
        <v>3.1101767270538949</v>
      </c>
      <c r="C55" s="3"/>
      <c r="D55" s="195"/>
    </row>
    <row r="56" spans="1:13" x14ac:dyDescent="0.25">
      <c r="A56" s="196"/>
      <c r="B56" s="197"/>
      <c r="C56" s="197"/>
      <c r="D56" s="198"/>
    </row>
    <row r="57" spans="1:13" x14ac:dyDescent="0.25">
      <c r="B57" s="3"/>
      <c r="C57" s="3"/>
      <c r="D57" s="3"/>
    </row>
    <row r="58" spans="1:13" x14ac:dyDescent="0.25">
      <c r="B58" s="3"/>
      <c r="C58" s="3"/>
      <c r="D58" s="3"/>
    </row>
    <row r="59" spans="1:13" x14ac:dyDescent="0.25">
      <c r="A59" s="3"/>
      <c r="B59" s="3"/>
      <c r="C59" s="3"/>
      <c r="D59" s="3"/>
    </row>
    <row r="60" spans="1:13" x14ac:dyDescent="0.25">
      <c r="B60" s="3"/>
      <c r="C60" s="3"/>
      <c r="D60" s="3"/>
    </row>
    <row r="61" spans="1:13" x14ac:dyDescent="0.25">
      <c r="B61" s="3"/>
      <c r="C61" s="3"/>
      <c r="D61" s="3"/>
    </row>
    <row r="62" spans="1:13" x14ac:dyDescent="0.25">
      <c r="B62" s="3"/>
    </row>
    <row r="63" spans="1:13" x14ac:dyDescent="0.25">
      <c r="B63" s="3"/>
    </row>
    <row r="93" spans="2:2" x14ac:dyDescent="0.25">
      <c r="B93" s="35" t="str">
        <f>IF(Lang="Français","Vitesse de descente sous parachute :",IF(Lang="English","Fall velocity over parachute:",""))</f>
        <v>Vitesse de descente sous parachute :</v>
      </c>
    </row>
    <row r="102" spans="2:7" x14ac:dyDescent="0.25">
      <c r="B102" s="35" t="str">
        <f>IF(Lang="Français","Textes pour les listes déroulantes et graphiques :","Texts for drop-down lists &amp; graphics :")</f>
        <v>Textes pour les listes déroulantes et graphiques :</v>
      </c>
      <c r="F102" s="259" t="s">
        <v>409</v>
      </c>
      <c r="G102" s="1" t="s">
        <v>416</v>
      </c>
    </row>
    <row r="103" spans="2:7" x14ac:dyDescent="0.25">
      <c r="F103" s="563">
        <f ca="1">Combustion+Depotage-9</f>
        <v>-9</v>
      </c>
      <c r="G103" s="564" t="s">
        <v>411</v>
      </c>
    </row>
    <row r="104" spans="2:7" x14ac:dyDescent="0.25">
      <c r="B104" s="1" t="s">
        <v>121</v>
      </c>
      <c r="F104" s="563">
        <f ca="1">Combustion+Depotage-7</f>
        <v>-7</v>
      </c>
      <c r="G104" s="564" t="s">
        <v>412</v>
      </c>
    </row>
    <row r="105" spans="2:7" x14ac:dyDescent="0.25">
      <c r="B105" s="1" t="s">
        <v>122</v>
      </c>
      <c r="F105" s="563">
        <f ca="1">Combustion+Depotage-5</f>
        <v>-5</v>
      </c>
      <c r="G105" s="564" t="s">
        <v>413</v>
      </c>
    </row>
    <row r="106" spans="2:7" x14ac:dyDescent="0.25">
      <c r="B106" s="1" t="str">
        <f>IF(T_para&gt;0,IF(Lang="Français","Phase ascendante","Climbing phase"),"")</f>
        <v>Phase ascendante</v>
      </c>
      <c r="F106" s="563">
        <f ca="1">Combustion+Depotage-3</f>
        <v>-3</v>
      </c>
      <c r="G106" s="564" t="s">
        <v>414</v>
      </c>
    </row>
    <row r="107" spans="2:7" x14ac:dyDescent="0.25">
      <c r="B107" s="1" t="str">
        <f>IF(Lang="Français","Descente balistique","Balistic fall")</f>
        <v>Descente balistique</v>
      </c>
      <c r="F107" s="563">
        <f ca="1">Combustion+Depotage</f>
        <v>0</v>
      </c>
      <c r="G107" s="564" t="s">
        <v>415</v>
      </c>
    </row>
    <row r="108" spans="2:7" x14ac:dyDescent="0.25">
      <c r="B108" s="1" t="str">
        <f>IF(T_para&gt;0,IF(Lang="Français","Fusée sous parachute","Rocket under parachute"),"")</f>
        <v>Fusée sous parachute</v>
      </c>
      <c r="F108" s="565" t="str">
        <f>IF(Lang="Français","autre",IF(Lang="English","other",""))</f>
        <v>autre</v>
      </c>
    </row>
    <row r="109" spans="2:7" x14ac:dyDescent="0.25">
      <c r="B109" s="1" t="str">
        <f>IF(AND(Nb_sat="1 satellite",T_satellite&gt;0),IF(Lang="Français","Satellite sous parachute","Satellite over parachute"),"")</f>
        <v/>
      </c>
    </row>
    <row r="110" spans="2:7" x14ac:dyDescent="0.25">
      <c r="B110" s="1" t="str">
        <f>IF(Lang="Français","Trajectoire (x z)","Trajectory (x z)")</f>
        <v>Trajectoire (x z)</v>
      </c>
    </row>
    <row r="111" spans="2:7" x14ac:dyDescent="0.25">
      <c r="B111" s="1" t="str">
        <f>IF(Lang="Français","Portée x [m]","Range x [m]")</f>
        <v>Portée x [m]</v>
      </c>
    </row>
    <row r="112" spans="2:7" x14ac:dyDescent="0.25">
      <c r="B112" s="1" t="str">
        <f>IF(Lang="Français","Temps [s]","Time [s]")</f>
        <v>Temps [s]</v>
      </c>
    </row>
    <row r="113" spans="2:3" x14ac:dyDescent="0.25">
      <c r="B113" s="1" t="str">
        <f>IF(Lang="Français","Altitude z  /  Temps","Altitude z  /  Time")</f>
        <v>Altitude z  /  Temps</v>
      </c>
      <c r="C113" s="1">
        <f>IF(OR(C25=F102,C25=F108),C26,C25)</f>
        <v>21</v>
      </c>
    </row>
    <row r="115" spans="2:3" x14ac:dyDescent="0.25">
      <c r="B115" s="1" t="s">
        <v>410</v>
      </c>
    </row>
    <row r="117" spans="2:3" x14ac:dyDescent="0.25">
      <c r="B117" s="35" t="str">
        <f>IF(Lang="Français","Données pour les graphiques :","Data for plots:")</f>
        <v>Données pour les graphiques :</v>
      </c>
      <c r="C117" s="246" t="s">
        <v>48</v>
      </c>
    </row>
    <row r="118" spans="2:3" x14ac:dyDescent="0.25">
      <c r="C118" s="252">
        <f ca="1">MAX(Altitude_culmi,Portee_balistique)</f>
        <v>2493.3072967125281</v>
      </c>
    </row>
    <row r="119" spans="2:3" x14ac:dyDescent="0.25">
      <c r="B119" s="245" t="s">
        <v>48</v>
      </c>
      <c r="C119" s="9"/>
    </row>
    <row r="120" spans="2:3" x14ac:dyDescent="0.25">
      <c r="B120" s="256">
        <f ca="1">MAX(Altitude_culmi,Portee_balistique)</f>
        <v>2493.3072967125281</v>
      </c>
      <c r="C120" s="254" t="s">
        <v>46</v>
      </c>
    </row>
    <row r="121" spans="2:3" x14ac:dyDescent="0.25">
      <c r="B121" s="9"/>
      <c r="C121" s="250">
        <f ca="1">Alt_para</f>
        <v>2482.7231990371388</v>
      </c>
    </row>
    <row r="122" spans="2:3" x14ac:dyDescent="0.25">
      <c r="B122" s="253" t="s">
        <v>50</v>
      </c>
      <c r="C122" s="250">
        <f ca="1">Alt_para/2</f>
        <v>1241.3615995185694</v>
      </c>
    </row>
    <row r="123" spans="2:3" x14ac:dyDescent="0.25">
      <c r="B123" s="255">
        <f ca="1">X_para</f>
        <v>910.06063055066556</v>
      </c>
      <c r="C123" s="250">
        <v>0</v>
      </c>
    </row>
    <row r="124" spans="2:3" x14ac:dyDescent="0.25">
      <c r="B124" s="255">
        <f ca="1">X_para</f>
        <v>910.06063055066556</v>
      </c>
      <c r="C124" s="250">
        <f ca="1">Alt_para/20</f>
        <v>124.13615995185694</v>
      </c>
    </row>
    <row r="125" spans="2:3" x14ac:dyDescent="0.25">
      <c r="B125" s="255">
        <f ca="1">X_para</f>
        <v>910.06063055066556</v>
      </c>
      <c r="C125" s="250">
        <v>0</v>
      </c>
    </row>
    <row r="126" spans="2:3" x14ac:dyDescent="0.25">
      <c r="B126" s="255">
        <f ca="1">X_para+Alt_para/40</f>
        <v>972.12871052659398</v>
      </c>
      <c r="C126" s="250">
        <f ca="1">Alt_para/20</f>
        <v>124.13615995185694</v>
      </c>
    </row>
    <row r="127" spans="2:3" x14ac:dyDescent="0.25">
      <c r="B127" s="255">
        <f ca="1">X_para</f>
        <v>910.06063055066556</v>
      </c>
      <c r="C127" s="257">
        <v>0</v>
      </c>
    </row>
    <row r="128" spans="2:3" x14ac:dyDescent="0.25">
      <c r="B128" s="255">
        <f ca="1">X_para-Alt_para/40</f>
        <v>847.99255057473715</v>
      </c>
      <c r="C128" s="246" t="s">
        <v>46</v>
      </c>
    </row>
    <row r="129" spans="2:6" x14ac:dyDescent="0.25">
      <c r="B129" s="256">
        <f ca="1">X_para</f>
        <v>910.06063055066556</v>
      </c>
      <c r="C129" s="250">
        <f ca="1">Alt_para</f>
        <v>2482.7231990371388</v>
      </c>
      <c r="E129" s="274">
        <v>1</v>
      </c>
      <c r="F129" s="275" t="s">
        <v>176</v>
      </c>
    </row>
    <row r="130" spans="2:6" x14ac:dyDescent="0.25">
      <c r="B130" s="245" t="s">
        <v>49</v>
      </c>
      <c r="C130" s="250">
        <f ca="1">(C129+C131)/2</f>
        <v>1241.3615995185694</v>
      </c>
      <c r="E130" s="194">
        <v>1</v>
      </c>
      <c r="F130" s="276" t="s">
        <v>177</v>
      </c>
    </row>
    <row r="131" spans="2:6" x14ac:dyDescent="0.25">
      <c r="B131" s="249">
        <f>T_para</f>
        <v>21</v>
      </c>
      <c r="C131" s="250">
        <f>0</f>
        <v>0</v>
      </c>
      <c r="E131" s="194"/>
      <c r="F131" s="283" t="s">
        <v>178</v>
      </c>
    </row>
    <row r="132" spans="2:6" x14ac:dyDescent="0.25">
      <c r="B132" s="249">
        <f ca="1">(B131+B133)/2</f>
        <v>188.71789005551511</v>
      </c>
      <c r="C132" s="250">
        <f ca="1">Alt_para-V_para*(H47-T_para)+E129*sS*Altitude_culmi/H47*zZ_fus+E130*sS/2*Altitude_culmi/H47*tT_fus</f>
        <v>48.758484000892246</v>
      </c>
      <c r="E132" s="277" t="s">
        <v>173</v>
      </c>
      <c r="F132" s="278">
        <f ca="1">T_balistique/10</f>
        <v>4.740000000000034</v>
      </c>
    </row>
    <row r="133" spans="2:6" x14ac:dyDescent="0.25">
      <c r="B133" s="249">
        <f ca="1">H47</f>
        <v>356.43578011103023</v>
      </c>
      <c r="C133" s="250">
        <f ca="1">Alt_para-V_para*(H47-T_para)</f>
        <v>0</v>
      </c>
      <c r="E133" s="277" t="s">
        <v>174</v>
      </c>
      <c r="F133" s="278">
        <f ca="1">(H47-T_para)/H47</f>
        <v>0.9410833559036681</v>
      </c>
    </row>
    <row r="134" spans="2:6" x14ac:dyDescent="0.25">
      <c r="B134" s="249">
        <f ca="1">H47+E129*sS/2*zZ_fus-E130*sS*tT_fus</f>
        <v>354.34504500404682</v>
      </c>
      <c r="C134" s="250">
        <f ca="1">Alt_para-V_para*(H47-T_para)+E129*sS*Altitude_culmi/H47*zZ_fus-E130*sS/2*Altitude_culmi/H47*tT_fus</f>
        <v>17.555153663295435</v>
      </c>
      <c r="E134" s="279" t="s">
        <v>175</v>
      </c>
      <c r="F134" s="280">
        <f ca="1">V_para*(H47-T_para)/Alt_para</f>
        <v>1</v>
      </c>
    </row>
    <row r="135" spans="2:6" x14ac:dyDescent="0.25">
      <c r="B135" s="249">
        <f ca="1">H47</f>
        <v>356.43578011103023</v>
      </c>
      <c r="C135" s="252">
        <f ca="1">Alt_para-V_para*(H47-T_para)</f>
        <v>0</v>
      </c>
    </row>
    <row r="136" spans="2:6" x14ac:dyDescent="0.25">
      <c r="B136" s="249">
        <f ca="1">H47-E129*sS/2*zZ_fus-E130*sS*tT_fus</f>
        <v>349.60504500404681</v>
      </c>
      <c r="C136" s="3"/>
    </row>
    <row r="137" spans="2:6" x14ac:dyDescent="0.25">
      <c r="B137" s="251">
        <f ca="1">H47</f>
        <v>356.43578011103023</v>
      </c>
      <c r="C137" s="254" t="s">
        <v>47</v>
      </c>
    </row>
    <row r="138" spans="2:6" x14ac:dyDescent="0.25">
      <c r="B138" s="3"/>
      <c r="C138" s="250" t="b">
        <f>IF(Nb_sat="1 satellite",Alt_sat)</f>
        <v>0</v>
      </c>
    </row>
    <row r="139" spans="2:6" x14ac:dyDescent="0.25">
      <c r="B139" s="253" t="s">
        <v>52</v>
      </c>
      <c r="C139" s="250" t="b">
        <f>IF(Nb_sat="1 satellite",Alt_sat*1/4)</f>
        <v>0</v>
      </c>
    </row>
    <row r="140" spans="2:6" x14ac:dyDescent="0.25">
      <c r="B140" s="255" t="b">
        <f>IF(Nb_sat="1 satellite",X_satellite)</f>
        <v>0</v>
      </c>
      <c r="C140" s="250" t="b">
        <f>IF(Nb_sat="1 satellite",0)</f>
        <v>0</v>
      </c>
    </row>
    <row r="141" spans="2:6" x14ac:dyDescent="0.25">
      <c r="B141" s="255" t="b">
        <f>IF(Nb_sat="1 satellite",X_satellite)</f>
        <v>0</v>
      </c>
      <c r="C141" s="250" t="b">
        <f>IF(Nb_sat="1 satellite",Alt_sat/20)</f>
        <v>0</v>
      </c>
    </row>
    <row r="142" spans="2:6" x14ac:dyDescent="0.25">
      <c r="B142" s="255" t="b">
        <f>IF(Nb_sat="1 satellite",X_satellite)</f>
        <v>0</v>
      </c>
      <c r="C142" s="250" t="b">
        <f>IF(Nb_sat="1 satellite",0)</f>
        <v>0</v>
      </c>
    </row>
    <row r="143" spans="2:6" x14ac:dyDescent="0.25">
      <c r="B143" s="255" t="b">
        <f>IF(Nb_sat="1 satellite",X_satellite+Alt_sat/40)</f>
        <v>0</v>
      </c>
      <c r="C143" s="250" t="b">
        <f>IF(Nb_sat="1 satellite",Alt_sat/20)</f>
        <v>0</v>
      </c>
    </row>
    <row r="144" spans="2:6" x14ac:dyDescent="0.25">
      <c r="B144" s="255" t="b">
        <f>IF(Nb_sat="1 satellite",X_satellite)</f>
        <v>0</v>
      </c>
      <c r="C144" s="250" t="b">
        <f>IF(Nb_sat="1 satellite",0)</f>
        <v>0</v>
      </c>
    </row>
    <row r="145" spans="2:6" x14ac:dyDescent="0.25">
      <c r="B145" s="255" t="b">
        <f>IF(Nb_sat="1 satellite",X_satellite-Alt_sat/40)</f>
        <v>0</v>
      </c>
      <c r="C145" s="246" t="s">
        <v>47</v>
      </c>
    </row>
    <row r="146" spans="2:6" x14ac:dyDescent="0.25">
      <c r="B146" s="256" t="b">
        <f>IF(Nb_sat="1 satellite",X_satellite)</f>
        <v>0</v>
      </c>
      <c r="C146" s="250" t="b">
        <f>IF(Nb_sat="1 satellite",Alt_sat)</f>
        <v>0</v>
      </c>
      <c r="D146" s="259"/>
    </row>
    <row r="147" spans="2:6" x14ac:dyDescent="0.25">
      <c r="B147" s="245" t="s">
        <v>51</v>
      </c>
      <c r="C147" s="250">
        <f>(C146+C148)/2</f>
        <v>0</v>
      </c>
      <c r="D147" s="259"/>
    </row>
    <row r="148" spans="2:6" x14ac:dyDescent="0.25">
      <c r="B148" s="249" t="b">
        <f>IF(Nb_sat="1 satellite",T_satellite)</f>
        <v>0</v>
      </c>
      <c r="C148" s="250" t="b">
        <f>IF(Nb_sat="1 satellite",0)</f>
        <v>0</v>
      </c>
    </row>
    <row r="149" spans="2:6" x14ac:dyDescent="0.25">
      <c r="B149" s="249">
        <f>(B148+B150)/2</f>
        <v>0</v>
      </c>
      <c r="C149" s="250" t="b">
        <f>IF(Nb_sat="1 satellite",Alt_sat-V_satellite*(H49-T_satellite)+E129*sS*Altitude_culmi/H49*zZ_sat+E130*sS/2*Altitude_culmi/H49*tT_sat)</f>
        <v>0</v>
      </c>
      <c r="D149" s="259"/>
    </row>
    <row r="150" spans="2:6" x14ac:dyDescent="0.25">
      <c r="B150" s="249" t="b">
        <f>IF(Nb_sat="1 satellite",H49)</f>
        <v>0</v>
      </c>
      <c r="C150" s="250" t="b">
        <f>IF(Nb_sat="1 satellite",0)</f>
        <v>0</v>
      </c>
      <c r="E150" s="281" t="s">
        <v>174</v>
      </c>
      <c r="F150" s="282">
        <f ca="1">(T_balistique-T_satellite)/T_balistique</f>
        <v>0.92616033755274318</v>
      </c>
    </row>
    <row r="151" spans="2:6" x14ac:dyDescent="0.25">
      <c r="B151" s="249" t="b">
        <f>IF(Nb_sat="1 satellite",H49+E129*sS/2*zZ_sat-E130*sS*tT_sat)</f>
        <v>0</v>
      </c>
      <c r="C151" s="250" t="b">
        <f>IF(Nb_sat="1 satellite",Alt_sat-V_satellite*(H49-T_satellite)+E129*sS*Altitude_culmi/H49*zZ_sat-E130*sS/2*Altitude_culmi/H49*tT_sat)</f>
        <v>0</v>
      </c>
      <c r="E151" s="279" t="s">
        <v>175</v>
      </c>
      <c r="F151" s="280">
        <f ca="1">V_satellite*(T_balistique-T_satellite)/Alt_sat</f>
        <v>1.3417188397756745</v>
      </c>
    </row>
    <row r="152" spans="2:6" x14ac:dyDescent="0.25">
      <c r="B152" s="249" t="b">
        <f>IF(Nb_sat="1 satellite",H49)</f>
        <v>0</v>
      </c>
      <c r="C152" s="252" t="b">
        <f>IF(Nb_sat="1 satellite",0)</f>
        <v>0</v>
      </c>
    </row>
    <row r="153" spans="2:6" x14ac:dyDescent="0.25">
      <c r="B153" s="249" t="b">
        <f>IF(Nb_sat="1 satellite",H49-sS/2*zZ_sat-E130*sS*tT_sat)</f>
        <v>0</v>
      </c>
    </row>
    <row r="154" spans="2:6" x14ac:dyDescent="0.25">
      <c r="B154" s="251" t="b">
        <f>IF(Nb_sat="1 satellite",H49)</f>
        <v>0</v>
      </c>
      <c r="C154" s="267" t="s">
        <v>29</v>
      </c>
      <c r="D154" s="246" t="s">
        <v>3</v>
      </c>
    </row>
    <row r="155" spans="2:6" x14ac:dyDescent="0.25">
      <c r="C155" s="272">
        <f ca="1">Alt_para/2</f>
        <v>1241.3615995185694</v>
      </c>
      <c r="D155" s="273">
        <f ca="1">X_para/4</f>
        <v>227.51515763766639</v>
      </c>
    </row>
    <row r="156" spans="2:6" x14ac:dyDescent="0.25">
      <c r="B156" s="245" t="s">
        <v>2</v>
      </c>
      <c r="C156" s="269">
        <f ca="1">Altitude_culmi/2</f>
        <v>1246.6536483562641</v>
      </c>
      <c r="D156" s="270">
        <f ca="1">X_culmi+(Portee_balistique-X_culmi)*2/3</f>
        <v>1482.353972704934</v>
      </c>
    </row>
    <row r="157" spans="2:6" x14ac:dyDescent="0.25">
      <c r="B157" s="271">
        <f>T_para/4</f>
        <v>5.25</v>
      </c>
    </row>
    <row r="158" spans="2:6" x14ac:dyDescent="0.25">
      <c r="B158" s="268">
        <f ca="1">Temps_culmi + (T_balistique-Temps_culmi)/2</f>
        <v>34.900000000000162</v>
      </c>
      <c r="C158" s="267" t="s">
        <v>304</v>
      </c>
      <c r="D158" s="484" t="s">
        <v>306</v>
      </c>
      <c r="E158" s="484"/>
      <c r="F158" s="485" t="s">
        <v>306</v>
      </c>
    </row>
    <row r="159" spans="2:6" x14ac:dyDescent="0.25">
      <c r="C159" s="303">
        <v>0</v>
      </c>
      <c r="D159" s="272">
        <f t="shared" ref="D159:D174" ca="1" si="0">X_culmi+C159</f>
        <v>964.23948841338267</v>
      </c>
      <c r="E159" s="272"/>
      <c r="F159" s="273">
        <f t="shared" ref="F159:F174" ca="1" si="1">X_culmi-C159</f>
        <v>964.23948841338267</v>
      </c>
    </row>
    <row r="160" spans="2:6" x14ac:dyDescent="0.25">
      <c r="B160" s="245" t="s">
        <v>305</v>
      </c>
      <c r="C160" s="303">
        <v>23</v>
      </c>
      <c r="D160" s="272">
        <f t="shared" ca="1" si="0"/>
        <v>987.23948841338267</v>
      </c>
      <c r="E160" s="272"/>
      <c r="F160" s="273">
        <f t="shared" ca="1" si="1"/>
        <v>941.23948841338267</v>
      </c>
    </row>
    <row r="161" spans="2:6" x14ac:dyDescent="0.25">
      <c r="B161" s="271" t="e">
        <f ca="1">IF(AND(Altitude_culmi&gt;80, Altitude_culmi&lt;=350), 49, NA())</f>
        <v>#N/A</v>
      </c>
      <c r="C161" s="303">
        <v>23</v>
      </c>
      <c r="D161" s="272">
        <f t="shared" ca="1" si="0"/>
        <v>987.23948841338267</v>
      </c>
      <c r="E161" s="272"/>
      <c r="F161" s="273">
        <f t="shared" ca="1" si="1"/>
        <v>941.23948841338267</v>
      </c>
    </row>
    <row r="162" spans="2:6" x14ac:dyDescent="0.25">
      <c r="B162" s="271" t="e">
        <f ca="1">IF(AND(Altitude_culmi&gt;80, Altitude_culmi&lt;=350), 49, NA())</f>
        <v>#N/A</v>
      </c>
      <c r="C162" s="303">
        <v>0</v>
      </c>
      <c r="D162" s="272">
        <f t="shared" ca="1" si="0"/>
        <v>964.23948841338267</v>
      </c>
      <c r="E162" s="272"/>
      <c r="F162" s="273">
        <f t="shared" ca="1" si="1"/>
        <v>964.23948841338267</v>
      </c>
    </row>
    <row r="163" spans="2:6" x14ac:dyDescent="0.25">
      <c r="B163" s="271" t="e">
        <f ca="1">IF(AND(Altitude_culmi&gt;80, Altitude_culmi&lt;=350), 43, NA())</f>
        <v>#N/A</v>
      </c>
      <c r="C163" s="303">
        <v>23</v>
      </c>
      <c r="D163" s="272">
        <f t="shared" ca="1" si="0"/>
        <v>987.23948841338267</v>
      </c>
      <c r="E163" s="272"/>
      <c r="F163" s="273">
        <f t="shared" ca="1" si="1"/>
        <v>941.23948841338267</v>
      </c>
    </row>
    <row r="164" spans="2:6" x14ac:dyDescent="0.25">
      <c r="B164" s="271" t="e">
        <f ca="1">IF(AND(Altitude_culmi&gt;80, Altitude_culmi&lt;=350), 43, NA())</f>
        <v>#N/A</v>
      </c>
      <c r="C164" s="303">
        <v>23</v>
      </c>
      <c r="D164" s="272">
        <f t="shared" ca="1" si="0"/>
        <v>987.23948841338267</v>
      </c>
      <c r="E164" s="272"/>
      <c r="F164" s="273">
        <f t="shared" ca="1" si="1"/>
        <v>941.23948841338267</v>
      </c>
    </row>
    <row r="165" spans="2:6" x14ac:dyDescent="0.25">
      <c r="B165" s="271" t="e">
        <f ca="1">IF(AND(Altitude_culmi&gt;80, Altitude_culmi&lt;=350), 43, NA())</f>
        <v>#N/A</v>
      </c>
      <c r="C165" s="303">
        <v>8</v>
      </c>
      <c r="D165" s="272">
        <f t="shared" ca="1" si="0"/>
        <v>972.23948841338267</v>
      </c>
      <c r="E165" s="272"/>
      <c r="F165" s="273">
        <f t="shared" ca="1" si="1"/>
        <v>956.23948841338267</v>
      </c>
    </row>
    <row r="166" spans="2:6" x14ac:dyDescent="0.25">
      <c r="B166" s="271" t="e">
        <f ca="1">IF(AND(Altitude_culmi&gt;80, Altitude_culmi&lt;=350), 0.5, NA())</f>
        <v>#N/A</v>
      </c>
      <c r="C166" s="303">
        <v>8</v>
      </c>
      <c r="D166" s="272">
        <f t="shared" ca="1" si="0"/>
        <v>972.23948841338267</v>
      </c>
      <c r="E166" s="272"/>
      <c r="F166" s="273">
        <f t="shared" ca="1" si="1"/>
        <v>956.23948841338267</v>
      </c>
    </row>
    <row r="167" spans="2:6" x14ac:dyDescent="0.25">
      <c r="B167" s="271" t="e">
        <f ca="1">IF(AND(Altitude_culmi&gt;80, Altitude_culmi&lt;=350), 0.5, NA())</f>
        <v>#N/A</v>
      </c>
      <c r="C167" s="303">
        <v>23</v>
      </c>
      <c r="D167" s="272">
        <f t="shared" ca="1" si="0"/>
        <v>987.23948841338267</v>
      </c>
      <c r="E167" s="272"/>
      <c r="F167" s="273">
        <f t="shared" ca="1" si="1"/>
        <v>941.23948841338267</v>
      </c>
    </row>
    <row r="168" spans="2:6" x14ac:dyDescent="0.25">
      <c r="B168" s="271" t="e">
        <f ca="1">IF(AND(Altitude_culmi&gt;80, Altitude_culmi&lt;=350), 27, NA())</f>
        <v>#N/A</v>
      </c>
      <c r="C168" s="303">
        <v>8</v>
      </c>
      <c r="D168" s="272">
        <f t="shared" ca="1" si="0"/>
        <v>972.23948841338267</v>
      </c>
      <c r="E168" s="272"/>
      <c r="F168" s="273">
        <f t="shared" ca="1" si="1"/>
        <v>956.23948841338267</v>
      </c>
    </row>
    <row r="169" spans="2:6" x14ac:dyDescent="0.25">
      <c r="B169" s="271" t="e">
        <f ca="1">IF(AND(Altitude_culmi&gt;80, Altitude_culmi&lt;=350), 27, NA())</f>
        <v>#N/A</v>
      </c>
      <c r="C169" s="303">
        <v>7.6</v>
      </c>
      <c r="D169" s="272">
        <f t="shared" ca="1" si="0"/>
        <v>971.8394884133827</v>
      </c>
      <c r="E169" s="272"/>
      <c r="F169" s="273">
        <f t="shared" ca="1" si="1"/>
        <v>956.63948841338265</v>
      </c>
    </row>
    <row r="170" spans="2:6" x14ac:dyDescent="0.25">
      <c r="B170" s="271" t="e">
        <f ca="1">IF(AND(Altitude_culmi&gt;80, Altitude_culmi&lt;=350), 27, NA())</f>
        <v>#N/A</v>
      </c>
      <c r="C170" s="303">
        <v>6.8</v>
      </c>
      <c r="D170" s="272">
        <f t="shared" ca="1" si="0"/>
        <v>971.03948841338263</v>
      </c>
      <c r="E170" s="272"/>
      <c r="F170" s="273">
        <f t="shared" ca="1" si="1"/>
        <v>957.43948841338272</v>
      </c>
    </row>
    <row r="171" spans="2:6" x14ac:dyDescent="0.25">
      <c r="B171" s="271" t="e">
        <f ca="1">IF(AND(Altitude_culmi&gt;80, Altitude_culmi&lt;=350), 29, NA())</f>
        <v>#N/A</v>
      </c>
      <c r="C171" s="303">
        <v>6</v>
      </c>
      <c r="D171" s="272">
        <f t="shared" ca="1" si="0"/>
        <v>970.23948841338267</v>
      </c>
      <c r="E171" s="272"/>
      <c r="F171" s="273">
        <f t="shared" ca="1" si="1"/>
        <v>958.23948841338267</v>
      </c>
    </row>
    <row r="172" spans="2:6" x14ac:dyDescent="0.25">
      <c r="B172" s="271" t="e">
        <f ca="1">IF(AND(Altitude_culmi&gt;80, Altitude_culmi&lt;=350), 31, NA())</f>
        <v>#N/A</v>
      </c>
      <c r="C172" s="303">
        <v>5</v>
      </c>
      <c r="D172" s="272">
        <f t="shared" ca="1" si="0"/>
        <v>969.23948841338267</v>
      </c>
      <c r="E172" s="272"/>
      <c r="F172" s="273">
        <f t="shared" ca="1" si="1"/>
        <v>959.23948841338267</v>
      </c>
    </row>
    <row r="173" spans="2:6" x14ac:dyDescent="0.25">
      <c r="B173" s="271" t="e">
        <f ca="1">IF(AND(Altitude_culmi&gt;80, Altitude_culmi&lt;=350), 32, NA())</f>
        <v>#N/A</v>
      </c>
      <c r="C173" s="303">
        <v>3.8</v>
      </c>
      <c r="D173" s="272">
        <f t="shared" ca="1" si="0"/>
        <v>968.03948841338263</v>
      </c>
      <c r="E173" s="272"/>
      <c r="F173" s="273">
        <f t="shared" ca="1" si="1"/>
        <v>960.43948841338272</v>
      </c>
    </row>
    <row r="174" spans="2:6" x14ac:dyDescent="0.25">
      <c r="B174" s="271" t="e">
        <f ca="1">IF(AND(Altitude_culmi&gt;80, Altitude_culmi&lt;=350), 33, NA())</f>
        <v>#N/A</v>
      </c>
      <c r="C174" s="482">
        <v>0</v>
      </c>
      <c r="D174" s="483">
        <f t="shared" ca="1" si="0"/>
        <v>964.23948841338267</v>
      </c>
      <c r="E174" s="483"/>
      <c r="F174" s="270">
        <f t="shared" ca="1" si="1"/>
        <v>964.23948841338267</v>
      </c>
    </row>
    <row r="175" spans="2:6" x14ac:dyDescent="0.25">
      <c r="B175" s="271" t="e">
        <f ca="1">IF(AND(Altitude_culmi&gt;80, Altitude_culmi&lt;=350), 34, NA())</f>
        <v>#N/A</v>
      </c>
    </row>
    <row r="176" spans="2:6" x14ac:dyDescent="0.25">
      <c r="B176" s="268" t="e">
        <f ca="1">IF(AND(Altitude_culmi&gt;80, Altitude_culmi&lt;=350), 35, NA())</f>
        <v>#N/A</v>
      </c>
      <c r="C176" s="267" t="s">
        <v>308</v>
      </c>
      <c r="D176" s="486" t="s">
        <v>309</v>
      </c>
      <c r="E176" s="486"/>
      <c r="F176" s="487" t="s">
        <v>309</v>
      </c>
    </row>
    <row r="177" spans="2:6" x14ac:dyDescent="0.25">
      <c r="C177" s="303">
        <v>0</v>
      </c>
      <c r="D177" s="272">
        <f t="shared" ref="D177:D197" ca="1" si="2">X_culmi+C177</f>
        <v>964.23948841338267</v>
      </c>
      <c r="E177" s="272"/>
      <c r="F177" s="273">
        <f t="shared" ref="F177:F197" ca="1" si="3">X_culmi-C177</f>
        <v>964.23948841338267</v>
      </c>
    </row>
    <row r="178" spans="2:6" x14ac:dyDescent="0.25">
      <c r="B178" s="245" t="s">
        <v>307</v>
      </c>
      <c r="C178" s="303">
        <v>0</v>
      </c>
      <c r="D178" s="272">
        <f t="shared" ca="1" si="2"/>
        <v>964.23948841338267</v>
      </c>
      <c r="E178" s="272"/>
      <c r="F178" s="273">
        <f t="shared" ca="1" si="3"/>
        <v>964.23948841338267</v>
      </c>
    </row>
    <row r="179" spans="2:6" x14ac:dyDescent="0.25">
      <c r="B179" s="271">
        <f ca="1">IF(Altitude_culmi&gt;350, 324, NA())</f>
        <v>324</v>
      </c>
      <c r="C179" s="303">
        <v>10</v>
      </c>
      <c r="D179" s="272">
        <f t="shared" ca="1" si="2"/>
        <v>974.23948841338267</v>
      </c>
      <c r="E179" s="272"/>
      <c r="F179" s="273">
        <f t="shared" ca="1" si="3"/>
        <v>954.23948841338267</v>
      </c>
    </row>
    <row r="180" spans="2:6" x14ac:dyDescent="0.25">
      <c r="B180" s="271">
        <f ca="1">IF(Altitude_culmi&gt;350, 300, NA())</f>
        <v>300</v>
      </c>
      <c r="C180" s="303">
        <v>0</v>
      </c>
      <c r="D180" s="272">
        <f t="shared" ca="1" si="2"/>
        <v>964.23948841338267</v>
      </c>
      <c r="E180" s="272"/>
      <c r="F180" s="273">
        <f t="shared" ca="1" si="3"/>
        <v>964.23948841338267</v>
      </c>
    </row>
    <row r="181" spans="2:6" x14ac:dyDescent="0.25">
      <c r="B181" s="271">
        <f ca="1">IF(Altitude_culmi&gt;350, 280, NA())</f>
        <v>280</v>
      </c>
      <c r="C181" s="303">
        <v>10</v>
      </c>
      <c r="D181" s="272">
        <f t="shared" ca="1" si="2"/>
        <v>974.23948841338267</v>
      </c>
      <c r="E181" s="272"/>
      <c r="F181" s="273">
        <f t="shared" ca="1" si="3"/>
        <v>954.23948841338267</v>
      </c>
    </row>
    <row r="182" spans="2:6" x14ac:dyDescent="0.25">
      <c r="B182" s="271">
        <f ca="1">IF(Altitude_culmi&gt;350, 280, NA())</f>
        <v>280</v>
      </c>
      <c r="C182" s="303">
        <v>13</v>
      </c>
      <c r="D182" s="272">
        <f t="shared" ca="1" si="2"/>
        <v>977.23948841338267</v>
      </c>
      <c r="E182" s="272"/>
      <c r="F182" s="273">
        <f t="shared" ca="1" si="3"/>
        <v>951.23948841338267</v>
      </c>
    </row>
    <row r="183" spans="2:6" x14ac:dyDescent="0.25">
      <c r="B183" s="271">
        <f ca="1">IF(Altitude_culmi&gt;350, 280, NA())</f>
        <v>280</v>
      </c>
      <c r="C183" s="303">
        <v>17</v>
      </c>
      <c r="D183" s="272">
        <f t="shared" ca="1" si="2"/>
        <v>981.23948841338267</v>
      </c>
      <c r="E183" s="272"/>
      <c r="F183" s="273">
        <f t="shared" ca="1" si="3"/>
        <v>947.23948841338267</v>
      </c>
    </row>
    <row r="184" spans="2:6" x14ac:dyDescent="0.25">
      <c r="B184" s="271">
        <f ca="1">IF(Altitude_culmi&gt;350, 200, NA())</f>
        <v>200</v>
      </c>
      <c r="C184" s="303">
        <v>20</v>
      </c>
      <c r="D184" s="272">
        <f t="shared" ca="1" si="2"/>
        <v>984.23948841338267</v>
      </c>
      <c r="E184" s="272"/>
      <c r="F184" s="273">
        <f t="shared" ca="1" si="3"/>
        <v>944.23948841338267</v>
      </c>
    </row>
    <row r="185" spans="2:6" x14ac:dyDescent="0.25">
      <c r="B185" s="271">
        <f ca="1">IF(Altitude_culmi&gt;350, 160, NA())</f>
        <v>160</v>
      </c>
      <c r="C185" s="303">
        <v>25</v>
      </c>
      <c r="D185" s="272">
        <f t="shared" ca="1" si="2"/>
        <v>989.23948841338267</v>
      </c>
      <c r="E185" s="272"/>
      <c r="F185" s="273">
        <f t="shared" ca="1" si="3"/>
        <v>939.23948841338267</v>
      </c>
    </row>
    <row r="186" spans="2:6" x14ac:dyDescent="0.25">
      <c r="B186" s="271">
        <f ca="1">IF(Altitude_culmi&gt;350, 115, NA())</f>
        <v>115</v>
      </c>
      <c r="C186" s="303">
        <v>30</v>
      </c>
      <c r="D186" s="272">
        <f t="shared" ca="1" si="2"/>
        <v>994.23948841338267</v>
      </c>
      <c r="E186" s="272"/>
      <c r="F186" s="273">
        <f t="shared" ca="1" si="3"/>
        <v>934.23948841338267</v>
      </c>
    </row>
    <row r="187" spans="2:6" x14ac:dyDescent="0.25">
      <c r="B187" s="271">
        <f ca="1">IF(Altitude_culmi&gt;350, 90, NA())</f>
        <v>90</v>
      </c>
      <c r="C187" s="303">
        <v>36</v>
      </c>
      <c r="D187" s="272">
        <f t="shared" ca="1" si="2"/>
        <v>1000.2394884133827</v>
      </c>
      <c r="E187" s="272"/>
      <c r="F187" s="273">
        <f t="shared" ca="1" si="3"/>
        <v>928.23948841338267</v>
      </c>
    </row>
    <row r="188" spans="2:6" x14ac:dyDescent="0.25">
      <c r="B188" s="271">
        <f ca="1">IF(Altitude_culmi&gt;350, 57, NA())</f>
        <v>57</v>
      </c>
      <c r="C188" s="303">
        <v>48</v>
      </c>
      <c r="D188" s="272">
        <f t="shared" ca="1" si="2"/>
        <v>1012.2394884133827</v>
      </c>
      <c r="E188" s="272"/>
      <c r="F188" s="273">
        <f t="shared" ca="1" si="3"/>
        <v>916.23948841338267</v>
      </c>
    </row>
    <row r="189" spans="2:6" x14ac:dyDescent="0.25">
      <c r="B189" s="271">
        <f ca="1">IF(Altitude_culmi&gt;350, 40, NA())</f>
        <v>40</v>
      </c>
      <c r="C189" s="303">
        <v>62</v>
      </c>
      <c r="D189" s="272">
        <f t="shared" ca="1" si="2"/>
        <v>1026.2394884133828</v>
      </c>
      <c r="E189" s="272"/>
      <c r="F189" s="273">
        <f t="shared" ca="1" si="3"/>
        <v>902.23948841338267</v>
      </c>
    </row>
    <row r="190" spans="2:6" x14ac:dyDescent="0.25">
      <c r="B190" s="271">
        <f ca="1">IF(Altitude_culmi&gt;350, 20, NA())</f>
        <v>20</v>
      </c>
      <c r="C190" s="303">
        <v>37</v>
      </c>
      <c r="D190" s="272">
        <f t="shared" ca="1" si="2"/>
        <v>1001.2394884133827</v>
      </c>
      <c r="E190" s="272"/>
      <c r="F190" s="273">
        <f t="shared" ca="1" si="3"/>
        <v>927.23948841338267</v>
      </c>
    </row>
    <row r="191" spans="2:6" x14ac:dyDescent="0.25">
      <c r="B191" s="271">
        <f ca="1">IF(Altitude_culmi&gt;350, 0.5, NA())</f>
        <v>0.5</v>
      </c>
      <c r="C191" s="303">
        <v>30</v>
      </c>
      <c r="D191" s="272">
        <f t="shared" ca="1" si="2"/>
        <v>994.23948841338267</v>
      </c>
      <c r="E191" s="272"/>
      <c r="F191" s="273">
        <f t="shared" ca="1" si="3"/>
        <v>934.23948841338267</v>
      </c>
    </row>
    <row r="192" spans="2:6" x14ac:dyDescent="0.25">
      <c r="B192" s="271">
        <f ca="1">IF(Altitude_culmi&gt;350, 0.5, NA())</f>
        <v>0.5</v>
      </c>
      <c r="C192" s="303">
        <v>15</v>
      </c>
      <c r="D192" s="272">
        <f t="shared" ca="1" si="2"/>
        <v>979.23948841338267</v>
      </c>
      <c r="E192" s="272"/>
      <c r="F192" s="273">
        <f t="shared" ca="1" si="3"/>
        <v>949.23948841338267</v>
      </c>
    </row>
    <row r="193" spans="2:6" x14ac:dyDescent="0.25">
      <c r="B193" s="271">
        <f ca="1">IF(Altitude_culmi&gt;350, 15, NA())</f>
        <v>15</v>
      </c>
      <c r="C193" s="303">
        <v>0</v>
      </c>
      <c r="D193" s="272">
        <f t="shared" ca="1" si="2"/>
        <v>964.23948841338267</v>
      </c>
      <c r="E193" s="272"/>
      <c r="F193" s="273">
        <f t="shared" ca="1" si="3"/>
        <v>964.23948841338267</v>
      </c>
    </row>
    <row r="194" spans="2:6" x14ac:dyDescent="0.25">
      <c r="B194" s="271">
        <f ca="1">IF(Altitude_culmi&gt;350, 30, NA())</f>
        <v>30</v>
      </c>
      <c r="C194" s="303">
        <v>0</v>
      </c>
      <c r="D194" s="272">
        <f t="shared" ca="1" si="2"/>
        <v>964.23948841338267</v>
      </c>
      <c r="E194" s="272"/>
      <c r="F194" s="273">
        <f t="shared" ca="1" si="3"/>
        <v>964.23948841338267</v>
      </c>
    </row>
    <row r="195" spans="2:6" x14ac:dyDescent="0.25">
      <c r="B195" s="271">
        <f ca="1">IF(Altitude_culmi&gt;350, 37, NA())</f>
        <v>37</v>
      </c>
      <c r="C195" s="303">
        <v>17</v>
      </c>
      <c r="D195" s="272">
        <f t="shared" ca="1" si="2"/>
        <v>981.23948841338267</v>
      </c>
      <c r="E195" s="272"/>
      <c r="F195" s="273">
        <f t="shared" ca="1" si="3"/>
        <v>947.23948841338267</v>
      </c>
    </row>
    <row r="196" spans="2:6" x14ac:dyDescent="0.25">
      <c r="B196" s="271">
        <f ca="1">IF(Altitude_culmi&gt;350, 67, NA())</f>
        <v>67</v>
      </c>
      <c r="C196" s="303">
        <v>11</v>
      </c>
      <c r="D196" s="272">
        <f t="shared" ca="1" si="2"/>
        <v>975.23948841338267</v>
      </c>
      <c r="E196" s="272"/>
      <c r="F196" s="273">
        <f t="shared" ca="1" si="3"/>
        <v>953.23948841338267</v>
      </c>
    </row>
    <row r="197" spans="2:6" x14ac:dyDescent="0.25">
      <c r="B197" s="271">
        <f ca="1">IF(Altitude_culmi&gt;350, 67, NA())</f>
        <v>67</v>
      </c>
      <c r="C197" s="482">
        <v>0</v>
      </c>
      <c r="D197" s="483">
        <f t="shared" ca="1" si="2"/>
        <v>964.23948841338267</v>
      </c>
      <c r="E197" s="483"/>
      <c r="F197" s="270">
        <f t="shared" ca="1" si="3"/>
        <v>964.23948841338267</v>
      </c>
    </row>
    <row r="198" spans="2:6" x14ac:dyDescent="0.25">
      <c r="B198" s="271">
        <f ca="1">IF(Altitude_culmi&gt;350, 100, NA())</f>
        <v>100</v>
      </c>
    </row>
    <row r="199" spans="2:6" x14ac:dyDescent="0.25">
      <c r="B199" s="268">
        <f ca="1">IF(Altitude_culmi&gt;350, 100, NA())</f>
        <v>100</v>
      </c>
    </row>
  </sheetData>
  <sheetProtection password="C6AC" sheet="1"/>
  <protectedRanges>
    <protectedRange sqref="C25" name="Plage1"/>
  </protectedRanges>
  <mergeCells count="41">
    <mergeCell ref="C2:D3"/>
    <mergeCell ref="C7:D7"/>
    <mergeCell ref="C8:D8"/>
    <mergeCell ref="C9:D9"/>
    <mergeCell ref="C6:D6"/>
    <mergeCell ref="C4:D4"/>
    <mergeCell ref="H33:I33"/>
    <mergeCell ref="H32:I32"/>
    <mergeCell ref="F28:G28"/>
    <mergeCell ref="H31:I31"/>
    <mergeCell ref="A38:D38"/>
    <mergeCell ref="H34:I34"/>
    <mergeCell ref="F34:G34"/>
    <mergeCell ref="F33:G33"/>
    <mergeCell ref="F32:G32"/>
    <mergeCell ref="F38:G38"/>
    <mergeCell ref="C22:D22"/>
    <mergeCell ref="C17:D17"/>
    <mergeCell ref="F23:G23"/>
    <mergeCell ref="F27:G27"/>
    <mergeCell ref="F26:G26"/>
    <mergeCell ref="F24:G24"/>
    <mergeCell ref="F25:G25"/>
    <mergeCell ref="C15:D15"/>
    <mergeCell ref="C10:D10"/>
    <mergeCell ref="C19:D19"/>
    <mergeCell ref="C20:D20"/>
    <mergeCell ref="C11:D11"/>
    <mergeCell ref="C13:D13"/>
    <mergeCell ref="C14:D14"/>
    <mergeCell ref="C18:D18"/>
    <mergeCell ref="F49:G49"/>
    <mergeCell ref="F40:G40"/>
    <mergeCell ref="F41:G41"/>
    <mergeCell ref="F42:G42"/>
    <mergeCell ref="F43:G43"/>
    <mergeCell ref="F48:G48"/>
    <mergeCell ref="F44:G44"/>
    <mergeCell ref="F45:G45"/>
    <mergeCell ref="F47:G47"/>
    <mergeCell ref="F46:G46"/>
  </mergeCells>
  <phoneticPr fontId="8" type="noConversion"/>
  <conditionalFormatting sqref="C30">
    <cfRule type="cellIs" dxfId="26" priority="42" stopIfTrue="1" operator="notBetween">
      <formula>5</formula>
      <formula>15</formula>
    </cfRule>
  </conditionalFormatting>
  <conditionalFormatting sqref="K23 K41">
    <cfRule type="expression" dxfId="25" priority="44" stopIfTrue="1">
      <formula>AND(Vsortie_de_rampe&lt;18, OR(LEFT(Type_fusee,1)=",",LEFT(Type_fusee,4)="Mini",LEFT(Type_fusee,1)="R"))</formula>
    </cfRule>
    <cfRule type="expression" dxfId="24" priority="45" stopIfTrue="1">
      <formula>AND(Vsortie_de_rampe&lt;20, RIGHT(Type_fusee,1)=".")</formula>
    </cfRule>
  </conditionalFormatting>
  <conditionalFormatting sqref="D30">
    <cfRule type="expression" dxfId="23" priority="40" stopIfTrue="1">
      <formula>Nb_sat="0 satellite"</formula>
    </cfRule>
    <cfRule type="cellIs" dxfId="22" priority="49" stopIfTrue="1" operator="notBetween">
      <formula>5</formula>
      <formula>15</formula>
    </cfRule>
  </conditionalFormatting>
  <conditionalFormatting sqref="H25:M25">
    <cfRule type="expression" dxfId="21" priority="41" stopIfTrue="1">
      <formula>Nb_sat="0 satellite"</formula>
    </cfRule>
  </conditionalFormatting>
  <conditionalFormatting sqref="D24">
    <cfRule type="expression" dxfId="20" priority="39" stopIfTrue="1">
      <formula>Nb_sat="0 satellite"</formula>
    </cfRule>
  </conditionalFormatting>
  <conditionalFormatting sqref="D26:D29 D31:D33">
    <cfRule type="expression" dxfId="19" priority="59" stopIfTrue="1">
      <formula>Nb_sat="0 satellite"</formula>
    </cfRule>
  </conditionalFormatting>
  <conditionalFormatting sqref="K40">
    <cfRule type="expression" dxfId="18" priority="34" stopIfTrue="1">
      <formula>AND( $K$21=0, OR( $I$21&gt;0, $J$21&gt;0 ) )</formula>
    </cfRule>
  </conditionalFormatting>
  <conditionalFormatting sqref="F25">
    <cfRule type="expression" dxfId="17" priority="26" stopIfTrue="1">
      <formula>Nb_sat="0 satellite"</formula>
    </cfRule>
  </conditionalFormatting>
  <conditionalFormatting sqref="F34:I34 F48:M48">
    <cfRule type="expression" dxfId="16" priority="22" stopIfTrue="1">
      <formula>Nb_sat="0 satellite"</formula>
    </cfRule>
  </conditionalFormatting>
  <conditionalFormatting sqref="F49:M49">
    <cfRule type="expression" dxfId="15" priority="21" stopIfTrue="1">
      <formula>Nb_sat="0 satellite"</formula>
    </cfRule>
  </conditionalFormatting>
  <conditionalFormatting sqref="N34">
    <cfRule type="expression" dxfId="14" priority="16" stopIfTrue="1">
      <formula>$N$34="propu NOK"</formula>
    </cfRule>
  </conditionalFormatting>
  <conditionalFormatting sqref="N33">
    <cfRule type="expression" dxfId="13" priority="15" stopIfTrue="1">
      <formula>ROUND(SUM(C23:L34),0)=1914</formula>
    </cfRule>
  </conditionalFormatting>
  <conditionalFormatting sqref="H32:I32">
    <cfRule type="cellIs" dxfId="12" priority="14" stopIfTrue="1" operator="equal">
      <formula>"Brun/Orange…"</formula>
    </cfRule>
  </conditionalFormatting>
  <conditionalFormatting sqref="H33:I33">
    <cfRule type="cellIs" dxfId="11" priority="13" stopIfTrue="1" operator="equal">
      <formula>"Rouge…"</formula>
    </cfRule>
  </conditionalFormatting>
  <conditionalFormatting sqref="J28 J45">
    <cfRule type="expression" dxfId="10" priority="6" stopIfTrue="1">
      <formula>AND(Portee_balistique&gt;200,LEFT(Type_propu,4)="Mini")</formula>
    </cfRule>
  </conditionalFormatting>
  <conditionalFormatting sqref="H27 H46">
    <cfRule type="expression" dxfId="9" priority="4" stopIfTrue="1">
      <formula>ABS(Temps_culmi-T_para)&gt;2</formula>
    </cfRule>
  </conditionalFormatting>
  <conditionalFormatting sqref="B26">
    <cfRule type="expression" dxfId="8" priority="89" stopIfTrue="1">
      <formula>NOT(OR(C25=F108,C25=F102,Nb_sat="1 satellite"))</formula>
    </cfRule>
  </conditionalFormatting>
  <conditionalFormatting sqref="C26">
    <cfRule type="expression" dxfId="7" priority="91" stopIfTrue="1">
      <formula>NOT(OR(C25=F108,C25=F102))</formula>
    </cfRule>
  </conditionalFormatting>
  <conditionalFormatting sqref="D25">
    <cfRule type="expression" dxfId="6" priority="2" stopIfTrue="1">
      <formula>Nb_sat="0 satellite"</formula>
    </cfRule>
  </conditionalFormatting>
  <dataValidations count="14">
    <dataValidation type="decimal" operator="greaterThanOrEqual" showErrorMessage="1" sqref="H40:K40 C29 C26 D26:D27" xr:uid="{00000000-0002-0000-0100-000000000000}">
      <formula1>0</formula1>
    </dataValidation>
    <dataValidation type="list" allowBlank="1" showInputMessage="1" showErrorMessage="1" sqref="H50" xr:uid="{00000000-0002-0000-0100-000001000000}">
      <formula1>gao</formula1>
    </dataValidation>
    <dataValidation operator="greaterThanOrEqual" showErrorMessage="1" sqref="D29 C27" xr:uid="{00000000-0002-0000-0100-000002000000}"/>
    <dataValidation type="decimal" errorStyle="warning" allowBlank="1" showErrorMessage="1" errorTitle="Cx para" error="Le Cx du parachute est souvent compris entre 0 et 2._x000a_Cx of parachute might be between 0 a 2." sqref="C28:D28" xr:uid="{00000000-0002-0000-0100-000003000000}">
      <formula1>0</formula1>
      <formula2>2</formula2>
    </dataValidation>
    <dataValidation sqref="C11:D11" xr:uid="{00000000-0002-0000-0100-000004000000}"/>
    <dataValidation operator="greaterThanOrEqual" sqref="C10:D10" xr:uid="{00000000-0002-0000-0100-000005000000}"/>
    <dataValidation type="decimal" errorStyle="warning" showErrorMessage="1" errorTitle="Cx" error="Le Cx est souvent compris entre 0,3 et 0,7._x000a_Cx may be between 0,3 &amp; 0,7." sqref="C15:D15" xr:uid="{00000000-0002-0000-0100-000006000000}">
      <formula1>0.3</formula1>
      <formula2>0.7</formula2>
    </dataValidation>
    <dataValidation type="decimal" operator="greaterThanOrEqual" allowBlank="1" showErrorMessage="1" sqref="C18:D18"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19:D19" xr:uid="{00000000-0002-0000-0100-000008000000}">
      <formula1>75</formula1>
      <formula2>85</formula2>
    </dataValidation>
    <dataValidation type="whole" operator="greaterThanOrEqual" allowBlank="1" showErrorMessage="1" sqref="C20:D20" xr:uid="{00000000-0002-0000-0100-000009000000}">
      <formula1>0</formula1>
    </dataValidation>
    <dataValidation type="whole" allowBlank="1" showErrorMessage="1" sqref="M40" xr:uid="{00000000-0002-0000-0100-00000A000000}">
      <formula1>-360</formula1>
      <formula2>360</formula2>
    </dataValidation>
    <dataValidation type="list" showInputMessage="1" showErrorMessage="1" sqref="D23" xr:uid="{00000000-0002-0000-0100-00000B000000}">
      <formula1>Menu_sat</formula1>
    </dataValidation>
    <dataValidation type="whole" operator="greaterThanOrEqual" showErrorMessage="1" sqref="B43 B45 B51 B53" xr:uid="{00000000-0002-0000-0100-00000C000000}">
      <formula1>0</formula1>
    </dataValidation>
    <dataValidation type="list" showInputMessage="1" showErrorMessage="1" sqref="C25" xr:uid="{00000000-0002-0000-0100-00000D000000}">
      <formula1>IF(Depotage&lt;&gt;0,IF(LEFT(Type_propu,5)="Micro",$F$108,$F$103:$F$108),$F$102)</formula1>
    </dataValidation>
  </dataValidations>
  <hyperlinks>
    <hyperlink ref="B11"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6:B132 B138:B149 C149 C151 C136:C138 C140:C147 C124:C130" formula="1"/>
    <ignoredError sqref="H44:I44 H47 J44:M44" evalError="1"/>
    <ignoredError sqref="G103:G107" numberStoredAsText="1"/>
    <ignoredError sqref="D24"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22860</xdr:colOff>
                <xdr:row>93</xdr:row>
                <xdr:rowOff>76200</xdr:rowOff>
              </from>
              <to>
                <xdr:col>4</xdr:col>
                <xdr:colOff>68580</xdr:colOff>
                <xdr:row>99</xdr:row>
                <xdr:rowOff>91440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769620</xdr:colOff>
                    <xdr:row>9</xdr:row>
                    <xdr:rowOff>15240</xdr:rowOff>
                  </from>
                  <to>
                    <xdr:col>4</xdr:col>
                    <xdr:colOff>0</xdr:colOff>
                    <xdr:row>10</xdr:row>
                    <xdr:rowOff>0</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42</xdr:row>
                    <xdr:rowOff>15240</xdr:rowOff>
                  </from>
                  <to>
                    <xdr:col>2</xdr:col>
                    <xdr:colOff>0</xdr:colOff>
                    <xdr:row>43</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44</xdr:row>
                    <xdr:rowOff>15240</xdr:rowOff>
                  </from>
                  <to>
                    <xdr:col>2</xdr:col>
                    <xdr:colOff>0</xdr:colOff>
                    <xdr:row>45</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50</xdr:row>
                    <xdr:rowOff>15240</xdr:rowOff>
                  </from>
                  <to>
                    <xdr:col>2</xdr:col>
                    <xdr:colOff>0</xdr:colOff>
                    <xdr:row>51</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52</xdr:row>
                    <xdr:rowOff>15240</xdr:rowOff>
                  </from>
                  <to>
                    <xdr:col>2</xdr:col>
                    <xdr:colOff>0</xdr:colOff>
                    <xdr:row>53</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heetViews>
  <sheetFormatPr baseColWidth="10" defaultRowHeight="13.2" x14ac:dyDescent="0.25"/>
  <sheetData>
    <row r="75" spans="2:2" x14ac:dyDescent="0.25">
      <c r="B75" t="s">
        <v>44</v>
      </c>
    </row>
    <row r="76" spans="2:2" x14ac:dyDescent="0.25">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5">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5">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5">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5">
      <c r="B131" s="35" t="str">
        <f>IF(Lang="Français","Textes pour les graphiques :","Texts for graphics :")</f>
        <v>Textes pour les graphiques :</v>
      </c>
    </row>
    <row r="133" spans="2:2" x14ac:dyDescent="0.25">
      <c r="B133" t="str">
        <f>IF(Lang="Français","Traînée",IF(Lang="English","Drag",""))</f>
        <v>Traînée</v>
      </c>
    </row>
    <row r="134" spans="2:2" x14ac:dyDescent="0.25">
      <c r="B134" t="str">
        <f>IF(Lang="Français","Poussée",IF(Lang="English","Thrust",""))</f>
        <v>Poussée</v>
      </c>
    </row>
    <row r="135" spans="2:2" x14ac:dyDescent="0.25">
      <c r="B135" t="str">
        <f>IF(Lang="Français","Poids",IF(Lang="English","Weight",""))</f>
        <v>Poids</v>
      </c>
    </row>
    <row r="137" spans="2:2" x14ac:dyDescent="0.25">
      <c r="B137" t="str">
        <f>IF(Lang="Français","Accélération longitudinale",IF(Lang="English","Longitudinal Acceleration",""))</f>
        <v>Accélération longitudinale</v>
      </c>
    </row>
    <row r="138" spans="2:2" x14ac:dyDescent="0.25">
      <c r="B138" t="str">
        <f>IF(Lang="Français","Charge vue par un capteur",IF(Lang="English","Load seen by a sensor",""))</f>
        <v>Charge vue par un capteur</v>
      </c>
    </row>
    <row r="140" spans="2:2" x14ac:dyDescent="0.25">
      <c r="B140" t="str">
        <f>IF(Lang="Français","Vitesse",IF(Lang="English","Velocity",""))</f>
        <v>Vitesse</v>
      </c>
    </row>
    <row r="141" spans="2:2" x14ac:dyDescent="0.25">
      <c r="B141" t="str">
        <f>IF(Lang="Français","Vitesse [m/s]",IF(Lang="English","Velocity [m/s]",""))</f>
        <v>Vitesse [m/s]</v>
      </c>
    </row>
    <row r="143" spans="2:2" x14ac:dyDescent="0.25">
      <c r="B143" t="s">
        <v>6</v>
      </c>
    </row>
    <row r="144" spans="2:2" x14ac:dyDescent="0.25">
      <c r="B144" t="str">
        <f>IF(Lang="Français","Portée",IF(Lang="English","Range",""))</f>
        <v>Portée</v>
      </c>
    </row>
    <row r="146" spans="2:2" x14ac:dyDescent="0.25">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zoomScale="80" zoomScaleNormal="80" workbookViewId="0">
      <selection activeCell="K6" sqref="K6"/>
    </sheetView>
  </sheetViews>
  <sheetFormatPr baseColWidth="10" defaultRowHeight="13.2" x14ac:dyDescent="0.25"/>
  <cols>
    <col min="1" max="1" width="22.6640625" bestFit="1" customWidth="1"/>
  </cols>
  <sheetData>
    <row r="1" spans="1:26" ht="13.8" thickBot="1" x14ac:dyDescent="0.3">
      <c r="A1" s="417" t="str">
        <f>IF(Lang="Français","Moteur sélectionné","Selected motor")</f>
        <v>Moteur sélectionné</v>
      </c>
      <c r="B1" s="417" t="s">
        <v>32</v>
      </c>
    </row>
    <row r="2" spans="1:26" ht="13.8" thickBot="1" x14ac:dyDescent="0.3">
      <c r="A2" s="407" t="str">
        <f>Propu</f>
        <v>Orignal (Pro75-3G C)</v>
      </c>
      <c r="B2" s="407">
        <f>VLOOKUP(A2,A26:B314,2,FALSE)</f>
        <v>289</v>
      </c>
      <c r="C2" s="418" t="s">
        <v>116</v>
      </c>
      <c r="D2" s="408">
        <f ca="1">INDIRECT(ADDRESS(B2,4))</f>
        <v>3739.0284999999994</v>
      </c>
      <c r="E2" s="418" t="s">
        <v>115</v>
      </c>
      <c r="F2" s="409">
        <f ca="1">INDIRECT(ADDRESS(B2,6))</f>
        <v>203.4941790441234</v>
      </c>
      <c r="G2" s="418" t="s">
        <v>57</v>
      </c>
      <c r="H2" s="410">
        <f ca="1">INDIRECT(ADDRESS(B2,8))</f>
        <v>3.5110000000000001</v>
      </c>
      <c r="I2" s="418" t="s">
        <v>274</v>
      </c>
      <c r="J2" s="411">
        <f ca="1">INDIRECT(ADDRESS(B2,10))</f>
        <v>1.8730000000000002</v>
      </c>
      <c r="K2" s="418" t="s">
        <v>59</v>
      </c>
      <c r="L2" s="410">
        <f ca="1">INDIRECT(ADDRESS(B2,12))</f>
        <v>1.6379999999999999</v>
      </c>
      <c r="M2" s="418" t="s">
        <v>58</v>
      </c>
      <c r="N2" s="412">
        <f ca="1">INDIRECT(ADDRESS(B2,14))</f>
        <v>243</v>
      </c>
      <c r="O2" s="418" t="s">
        <v>60</v>
      </c>
      <c r="P2" s="412">
        <f ca="1">INDIRECT(ADDRESS(B2,16))</f>
        <v>243</v>
      </c>
      <c r="Q2" s="418" t="s">
        <v>61</v>
      </c>
      <c r="R2" s="412">
        <f ca="1">INDIRECT(ADDRESS(B2,18))</f>
        <v>486</v>
      </c>
      <c r="S2" s="418" t="s">
        <v>62</v>
      </c>
      <c r="T2" s="412">
        <f ca="1">INDIRECT(ADDRESS(B2,20))</f>
        <v>75</v>
      </c>
      <c r="U2" s="418" t="s">
        <v>55</v>
      </c>
      <c r="V2" s="413" t="str">
        <f ca="1">INDIRECT(ADDRESS(B2,22))</f>
        <v>Fusex</v>
      </c>
      <c r="W2" s="547" t="s">
        <v>396</v>
      </c>
      <c r="X2" s="548">
        <f ca="1">INDIRECT(ADDRESS(B2,24))</f>
        <v>0</v>
      </c>
      <c r="Y2" s="547" t="s">
        <v>395</v>
      </c>
      <c r="Z2" s="413">
        <f ca="1">INDIRECT(ADDRESS(B2,26))</f>
        <v>0</v>
      </c>
    </row>
    <row r="3" spans="1:26" x14ac:dyDescent="0.25">
      <c r="A3" s="417" t="str">
        <f>IF(Lang="Français","Temps (en s)","Time (s)")</f>
        <v>Temps (en s)</v>
      </c>
      <c r="B3" s="419">
        <f t="shared" ref="B3:Y3" ca="1" si="0">INDIRECT(ADDRESS($B2+1,COLUMN(B3)))</f>
        <v>0</v>
      </c>
      <c r="C3" s="420">
        <f t="shared" ca="1" si="0"/>
        <v>0.01</v>
      </c>
      <c r="D3" s="420">
        <f t="shared" ca="1" si="0"/>
        <v>0.1</v>
      </c>
      <c r="E3" s="420">
        <f t="shared" ca="1" si="0"/>
        <v>0.12</v>
      </c>
      <c r="F3" s="420">
        <f t="shared" ca="1" si="0"/>
        <v>0.26</v>
      </c>
      <c r="G3" s="420">
        <f t="shared" ca="1" si="0"/>
        <v>0.71</v>
      </c>
      <c r="H3" s="420">
        <f t="shared" ca="1" si="0"/>
        <v>1.28</v>
      </c>
      <c r="I3" s="420">
        <f t="shared" ca="1" si="0"/>
        <v>2.0499999999999998</v>
      </c>
      <c r="J3" s="420">
        <f t="shared" ca="1" si="0"/>
        <v>2.41</v>
      </c>
      <c r="K3" s="420">
        <f t="shared" ca="1" si="0"/>
        <v>2.83</v>
      </c>
      <c r="L3" s="420">
        <f t="shared" ca="1" si="0"/>
        <v>3.25</v>
      </c>
      <c r="M3" s="420">
        <f t="shared" ca="1" si="0"/>
        <v>3.65</v>
      </c>
      <c r="N3" s="420">
        <f t="shared" ca="1" si="0"/>
        <v>3.8</v>
      </c>
      <c r="O3" s="420">
        <f t="shared" ca="1" si="0"/>
        <v>4</v>
      </c>
      <c r="P3" s="420">
        <f t="shared" ca="1" si="0"/>
        <v>4.0999999999999996</v>
      </c>
      <c r="Q3" s="420">
        <f t="shared" ca="1" si="0"/>
        <v>4.1900000000000004</v>
      </c>
      <c r="R3" s="420">
        <f t="shared" ca="1" si="0"/>
        <v>4.3099999999999996</v>
      </c>
      <c r="S3" s="420">
        <f t="shared" ca="1" si="0"/>
        <v>4.41</v>
      </c>
      <c r="T3" s="420">
        <f t="shared" ca="1" si="0"/>
        <v>4.5199999999999996</v>
      </c>
      <c r="U3" s="420">
        <f t="shared" ca="1" si="0"/>
        <v>4.5999999999999996</v>
      </c>
      <c r="V3" s="420">
        <f t="shared" ca="1" si="0"/>
        <v>4.6500000000000004</v>
      </c>
      <c r="W3" s="420">
        <f t="shared" ca="1" si="0"/>
        <v>4.67</v>
      </c>
      <c r="X3" s="420">
        <f ca="1">INDIRECT(ADDRESS($B2+1,COLUMN(X3)))</f>
        <v>4.68</v>
      </c>
      <c r="Y3" s="421">
        <f t="shared" ca="1" si="0"/>
        <v>1000</v>
      </c>
    </row>
    <row r="4" spans="1:26" ht="13.8" thickBot="1" x14ac:dyDescent="0.3">
      <c r="A4" s="435" t="str">
        <f>IF(Lang="Français","Poussée (en N)","Thrust (N)")</f>
        <v>Poussée (en N)</v>
      </c>
      <c r="B4" s="422">
        <f t="shared" ref="B4:Y4" ca="1" si="1">INDIRECT(ADDRESS($B2+2,COLUMN(B3)))</f>
        <v>27</v>
      </c>
      <c r="C4" s="423">
        <f t="shared" ca="1" si="1"/>
        <v>402.4</v>
      </c>
      <c r="D4" s="423">
        <f t="shared" ca="1" si="1"/>
        <v>1286</v>
      </c>
      <c r="E4" s="423">
        <f t="shared" ca="1" si="1"/>
        <v>1257</v>
      </c>
      <c r="F4" s="423">
        <f t="shared" ca="1" si="1"/>
        <v>1042</v>
      </c>
      <c r="G4" s="423">
        <f t="shared" ca="1" si="1"/>
        <v>1027</v>
      </c>
      <c r="H4" s="423">
        <f t="shared" ca="1" si="1"/>
        <v>998.4</v>
      </c>
      <c r="I4" s="423">
        <f t="shared" ca="1" si="1"/>
        <v>901.4</v>
      </c>
      <c r="J4" s="423">
        <f t="shared" ca="1" si="1"/>
        <v>849.6</v>
      </c>
      <c r="K4" s="423">
        <f t="shared" ca="1" si="1"/>
        <v>763.5</v>
      </c>
      <c r="L4" s="423">
        <f t="shared" ca="1" si="1"/>
        <v>707.1</v>
      </c>
      <c r="M4" s="423">
        <f t="shared" ca="1" si="1"/>
        <v>655.1</v>
      </c>
      <c r="N4" s="423">
        <f t="shared" ca="1" si="1"/>
        <v>651.70000000000005</v>
      </c>
      <c r="O4" s="423">
        <f t="shared" ca="1" si="1"/>
        <v>624.1</v>
      </c>
      <c r="P4" s="423">
        <f t="shared" ca="1" si="1"/>
        <v>601.29999999999995</v>
      </c>
      <c r="Q4" s="423">
        <f t="shared" ca="1" si="1"/>
        <v>536.20000000000005</v>
      </c>
      <c r="R4" s="423">
        <f t="shared" ca="1" si="1"/>
        <v>415.7</v>
      </c>
      <c r="S4" s="423">
        <f t="shared" ca="1" si="1"/>
        <v>270.2</v>
      </c>
      <c r="T4" s="423">
        <f t="shared" ca="1" si="1"/>
        <v>140.19999999999999</v>
      </c>
      <c r="U4" s="423">
        <f t="shared" ca="1" si="1"/>
        <v>76.900000000000006</v>
      </c>
      <c r="V4" s="423">
        <f t="shared" ca="1" si="1"/>
        <v>54.9</v>
      </c>
      <c r="W4" s="423">
        <f t="shared" ca="1" si="1"/>
        <v>40.200000000000003</v>
      </c>
      <c r="X4" s="423">
        <f ca="1">INDIRECT(ADDRESS($B2+2,COLUMN(X3)))</f>
        <v>0</v>
      </c>
      <c r="Y4" s="424">
        <f t="shared" ca="1" si="1"/>
        <v>0</v>
      </c>
    </row>
    <row r="5" spans="1:26" x14ac:dyDescent="0.25">
      <c r="B5" s="17"/>
      <c r="C5" s="17"/>
      <c r="D5" s="17"/>
      <c r="E5" s="17"/>
      <c r="F5" s="17"/>
      <c r="G5" s="17"/>
      <c r="H5" s="17"/>
      <c r="I5" s="17"/>
      <c r="J5" s="17"/>
      <c r="K5" s="17"/>
      <c r="L5" s="17"/>
      <c r="M5" s="17"/>
      <c r="N5" s="17"/>
      <c r="O5" s="17"/>
      <c r="P5" s="17"/>
      <c r="Q5" s="17"/>
      <c r="R5" s="17"/>
      <c r="S5" s="17"/>
      <c r="T5" s="17"/>
      <c r="U5" s="17"/>
      <c r="V5" s="17"/>
      <c r="W5" s="17"/>
      <c r="X5" s="17"/>
      <c r="Y5" s="17"/>
    </row>
    <row r="6" spans="1:26" x14ac:dyDescent="0.25">
      <c r="B6" s="17"/>
      <c r="C6" s="17"/>
      <c r="D6" s="17"/>
      <c r="E6" s="17"/>
      <c r="F6" s="17"/>
      <c r="G6" s="17"/>
      <c r="H6" s="17"/>
      <c r="I6" s="17"/>
      <c r="J6" s="17"/>
      <c r="K6" s="17"/>
      <c r="L6" s="17"/>
      <c r="M6" s="17"/>
      <c r="N6" s="17"/>
      <c r="O6" s="17"/>
      <c r="P6" s="17"/>
      <c r="Q6" s="17"/>
      <c r="R6" s="17"/>
      <c r="S6" s="17"/>
      <c r="T6" s="17"/>
      <c r="U6" s="17"/>
      <c r="V6" s="17"/>
      <c r="W6" s="17"/>
      <c r="X6" s="17"/>
      <c r="Y6" s="17"/>
    </row>
    <row r="7" spans="1:26" x14ac:dyDescent="0.25">
      <c r="B7" s="17"/>
      <c r="C7" s="17"/>
      <c r="D7" s="17"/>
      <c r="E7" s="17"/>
      <c r="F7" s="17"/>
      <c r="G7" s="17"/>
      <c r="H7" s="17"/>
      <c r="I7" s="17"/>
      <c r="J7" s="17"/>
      <c r="K7" s="17"/>
      <c r="L7" s="17"/>
      <c r="M7" s="17"/>
    </row>
    <row r="8" spans="1:26" x14ac:dyDescent="0.25">
      <c r="B8" s="17"/>
      <c r="C8" s="17"/>
      <c r="D8" s="17"/>
      <c r="E8" s="17"/>
      <c r="F8" s="17"/>
      <c r="G8" s="17"/>
      <c r="H8" s="17"/>
      <c r="I8" s="17"/>
      <c r="J8" s="17"/>
      <c r="K8" s="17"/>
      <c r="L8" s="17"/>
      <c r="M8" s="17"/>
    </row>
    <row r="9" spans="1:26" x14ac:dyDescent="0.25">
      <c r="B9" s="17"/>
      <c r="C9" s="17"/>
      <c r="D9" s="17"/>
      <c r="E9" s="17"/>
      <c r="F9" s="17"/>
      <c r="G9" s="17"/>
      <c r="H9" s="17"/>
      <c r="I9" s="17"/>
      <c r="J9" s="17"/>
      <c r="K9" s="17"/>
      <c r="L9" s="17"/>
      <c r="M9" s="17"/>
    </row>
    <row r="10" spans="1:26" x14ac:dyDescent="0.25">
      <c r="B10" s="17"/>
      <c r="C10" s="17"/>
      <c r="D10" s="17"/>
      <c r="E10" s="17"/>
      <c r="F10" s="17"/>
      <c r="G10" s="17"/>
      <c r="H10" s="17"/>
      <c r="I10" s="17"/>
      <c r="J10" s="17"/>
    </row>
    <row r="11" spans="1:26" x14ac:dyDescent="0.25">
      <c r="B11" s="17"/>
      <c r="C11" s="17"/>
      <c r="D11" s="17"/>
      <c r="E11" s="17"/>
      <c r="F11" s="17"/>
      <c r="G11" s="17"/>
      <c r="H11" s="17"/>
      <c r="I11" s="17"/>
      <c r="J11" s="17"/>
    </row>
    <row r="12" spans="1:26" x14ac:dyDescent="0.25">
      <c r="B12" s="17"/>
      <c r="C12" s="17"/>
      <c r="D12" s="17"/>
      <c r="E12" s="17"/>
      <c r="F12" s="17"/>
      <c r="G12" s="17"/>
      <c r="H12" s="17"/>
      <c r="I12" s="17"/>
      <c r="J12" s="17"/>
    </row>
    <row r="13" spans="1:26" x14ac:dyDescent="0.25">
      <c r="B13" s="17"/>
      <c r="C13" s="17"/>
      <c r="D13" s="17"/>
      <c r="E13" s="17"/>
      <c r="F13" s="17"/>
      <c r="G13" s="17"/>
      <c r="H13" s="17"/>
      <c r="I13" s="17"/>
      <c r="J13" s="17"/>
    </row>
    <row r="14" spans="1:26" x14ac:dyDescent="0.25">
      <c r="B14" s="17"/>
      <c r="C14" s="17"/>
      <c r="D14" s="17"/>
      <c r="E14" s="17"/>
      <c r="F14" s="17"/>
      <c r="G14" s="17"/>
      <c r="H14" s="17"/>
      <c r="I14" s="17"/>
      <c r="J14" s="17"/>
    </row>
    <row r="15" spans="1:26" x14ac:dyDescent="0.25">
      <c r="B15" s="17"/>
      <c r="C15" s="17"/>
      <c r="D15" s="17"/>
      <c r="E15" s="17"/>
      <c r="F15" s="17"/>
      <c r="G15" s="17"/>
      <c r="H15" s="17"/>
      <c r="I15" s="17"/>
      <c r="J15" s="17"/>
      <c r="K15" s="17"/>
      <c r="L15" s="17"/>
      <c r="M15" s="17"/>
    </row>
    <row r="16" spans="1:26" x14ac:dyDescent="0.25">
      <c r="B16" s="17"/>
      <c r="C16" s="17"/>
      <c r="D16" s="17"/>
      <c r="E16" s="17"/>
      <c r="F16" s="17"/>
      <c r="G16" s="17"/>
      <c r="H16" s="17"/>
      <c r="I16" s="17"/>
      <c r="J16" s="17"/>
      <c r="K16" s="17"/>
      <c r="L16" s="17"/>
      <c r="M16" s="17"/>
    </row>
    <row r="17" spans="1:25" x14ac:dyDescent="0.25">
      <c r="B17" s="17"/>
      <c r="C17" s="17"/>
      <c r="D17" s="17"/>
      <c r="E17" s="17"/>
      <c r="F17" s="17"/>
      <c r="G17" s="17"/>
      <c r="H17" s="17"/>
      <c r="I17" s="17"/>
      <c r="J17" s="17"/>
      <c r="K17" s="17"/>
      <c r="L17" s="17"/>
      <c r="M17" s="17"/>
    </row>
    <row r="18" spans="1:25" x14ac:dyDescent="0.25">
      <c r="B18" s="17"/>
      <c r="C18" s="17"/>
      <c r="D18" s="17"/>
      <c r="E18" s="17"/>
      <c r="F18" s="17"/>
      <c r="G18" s="17"/>
      <c r="H18" s="17"/>
      <c r="I18" s="17"/>
      <c r="J18" s="17"/>
      <c r="K18" s="17"/>
      <c r="L18" s="17"/>
      <c r="M18" s="17"/>
      <c r="N18" s="17"/>
      <c r="O18" s="17"/>
      <c r="P18" s="17"/>
      <c r="Q18" s="17"/>
      <c r="R18" s="17"/>
      <c r="S18" s="17"/>
      <c r="T18" s="17"/>
      <c r="U18" s="17"/>
      <c r="V18" s="17"/>
      <c r="W18" s="17"/>
      <c r="X18" s="17"/>
      <c r="Y18" s="17"/>
    </row>
    <row r="19" spans="1:25" x14ac:dyDescent="0.25">
      <c r="B19" s="17"/>
      <c r="C19" s="17"/>
      <c r="D19" s="17"/>
      <c r="E19" s="17"/>
      <c r="F19" s="17"/>
      <c r="G19" s="17"/>
      <c r="H19" s="17"/>
      <c r="I19" s="17"/>
      <c r="J19" s="17"/>
      <c r="K19" s="17"/>
      <c r="L19" s="17"/>
      <c r="M19" s="17"/>
      <c r="N19" s="17"/>
      <c r="O19" s="17"/>
      <c r="P19" s="17"/>
      <c r="Q19" s="17"/>
      <c r="R19" s="17"/>
      <c r="S19" s="17"/>
      <c r="T19" s="17"/>
      <c r="U19" s="17"/>
      <c r="V19" s="17"/>
      <c r="W19" s="17"/>
      <c r="X19" s="17"/>
      <c r="Y19" s="17"/>
    </row>
    <row r="20" spans="1:25" x14ac:dyDescent="0.25">
      <c r="B20" s="17"/>
      <c r="C20" s="17"/>
      <c r="D20" s="17"/>
      <c r="E20" s="17"/>
      <c r="F20" s="17"/>
      <c r="G20" s="17"/>
      <c r="H20" s="17"/>
      <c r="I20" s="17"/>
      <c r="J20" s="17"/>
      <c r="K20" s="17"/>
      <c r="L20" s="17"/>
      <c r="M20" s="17"/>
      <c r="N20" s="17"/>
      <c r="O20" s="17"/>
      <c r="P20" s="17"/>
      <c r="Q20" s="17"/>
      <c r="R20" s="17"/>
      <c r="S20" s="17"/>
      <c r="T20" s="17"/>
      <c r="U20" s="17"/>
      <c r="V20" s="17"/>
      <c r="W20" s="17"/>
      <c r="X20" s="17"/>
      <c r="Y20" s="17"/>
    </row>
    <row r="21" spans="1:25" x14ac:dyDescent="0.25">
      <c r="B21" s="17"/>
      <c r="C21" s="17"/>
      <c r="D21" s="17"/>
      <c r="E21" s="17"/>
      <c r="F21" s="17"/>
      <c r="G21" s="17"/>
      <c r="H21" s="17"/>
      <c r="I21" s="17"/>
      <c r="J21" s="17"/>
      <c r="K21" s="17"/>
      <c r="L21" s="17"/>
      <c r="M21" s="17"/>
      <c r="N21" s="17"/>
      <c r="O21" s="17"/>
      <c r="P21" s="17"/>
      <c r="Q21" s="17"/>
      <c r="R21" s="17"/>
      <c r="S21" s="17"/>
      <c r="T21" s="17"/>
      <c r="U21" s="17"/>
      <c r="V21" s="17"/>
      <c r="W21" s="17"/>
      <c r="X21" s="17"/>
      <c r="Y21" s="17"/>
    </row>
    <row r="22" spans="1:25" x14ac:dyDescent="0.25">
      <c r="B22" s="17"/>
      <c r="C22" s="17"/>
      <c r="D22" s="17"/>
      <c r="E22" s="17"/>
      <c r="F22" s="17"/>
      <c r="G22" s="17"/>
      <c r="H22" s="17"/>
      <c r="I22" s="17"/>
      <c r="J22" s="17"/>
      <c r="K22" s="17"/>
      <c r="L22" s="17"/>
      <c r="M22" s="17"/>
      <c r="N22" s="17"/>
      <c r="O22" s="17"/>
      <c r="P22" s="17"/>
      <c r="Q22" s="17"/>
      <c r="R22" s="17"/>
      <c r="S22" s="17"/>
      <c r="T22" s="17"/>
      <c r="U22" s="17"/>
      <c r="V22" s="17"/>
      <c r="W22" s="17"/>
      <c r="X22" s="17"/>
      <c r="Y22" s="17"/>
    </row>
    <row r="23" spans="1:25" x14ac:dyDescent="0.25">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ht="13.8" thickBot="1" x14ac:dyDescent="0.3">
      <c r="A25" s="492" t="s">
        <v>277</v>
      </c>
    </row>
    <row r="26" spans="1:25" ht="13.8" thickBot="1" x14ac:dyDescent="0.3">
      <c r="A26" s="416" t="s">
        <v>310</v>
      </c>
      <c r="B26" s="414">
        <f>ROW(A26)</f>
        <v>26</v>
      </c>
      <c r="C26" s="418" t="s">
        <v>116</v>
      </c>
      <c r="D26" s="408">
        <f>SUM(B29:Y29)</f>
        <v>9.8449999999999989</v>
      </c>
      <c r="E26" s="418" t="s">
        <v>115</v>
      </c>
      <c r="F26" s="460">
        <f>D26/g/J26</f>
        <v>3.3452259599048584</v>
      </c>
      <c r="G26" s="418" t="s">
        <v>57</v>
      </c>
      <c r="H26" s="86">
        <v>0.3</v>
      </c>
      <c r="I26" s="418" t="s">
        <v>272</v>
      </c>
      <c r="J26" s="410">
        <f>H26-L26</f>
        <v>0.3</v>
      </c>
      <c r="K26" s="418" t="s">
        <v>273</v>
      </c>
      <c r="L26" s="86">
        <v>0</v>
      </c>
      <c r="M26" s="418" t="s">
        <v>58</v>
      </c>
      <c r="N26" s="87">
        <f>0.2*R26</f>
        <v>60</v>
      </c>
      <c r="O26" s="418" t="s">
        <v>60</v>
      </c>
      <c r="P26" s="87">
        <v>150</v>
      </c>
      <c r="Q26" s="418" t="s">
        <v>61</v>
      </c>
      <c r="R26" s="87">
        <v>300</v>
      </c>
      <c r="S26" s="418" t="s">
        <v>62</v>
      </c>
      <c r="T26" s="87">
        <v>90</v>
      </c>
      <c r="U26" s="418" t="s">
        <v>55</v>
      </c>
      <c r="V26" s="88" t="s">
        <v>277</v>
      </c>
      <c r="W26" s="17"/>
      <c r="X26" s="17"/>
      <c r="Y26" s="17"/>
    </row>
    <row r="27" spans="1:25" x14ac:dyDescent="0.25">
      <c r="A27" s="417" t="s">
        <v>33</v>
      </c>
      <c r="B27" s="425">
        <v>0</v>
      </c>
      <c r="C27" s="426">
        <v>1E-3</v>
      </c>
      <c r="D27" s="426">
        <v>0.02</v>
      </c>
      <c r="E27" s="426">
        <v>3.7999999999999999E-2</v>
      </c>
      <c r="F27" s="426">
        <v>0.04</v>
      </c>
      <c r="G27" s="426">
        <v>0.04</v>
      </c>
      <c r="H27" s="426">
        <v>0.04</v>
      </c>
      <c r="I27" s="426">
        <v>0.04</v>
      </c>
      <c r="J27" s="426">
        <v>0.04</v>
      </c>
      <c r="K27" s="426">
        <v>0.04</v>
      </c>
      <c r="L27" s="426">
        <v>0.04</v>
      </c>
      <c r="M27" s="426">
        <v>0.04</v>
      </c>
      <c r="N27" s="426">
        <v>0.04</v>
      </c>
      <c r="O27" s="426">
        <v>0.04</v>
      </c>
      <c r="P27" s="426">
        <v>0.04</v>
      </c>
      <c r="Q27" s="426">
        <v>0.04</v>
      </c>
      <c r="R27" s="426">
        <v>0.04</v>
      </c>
      <c r="S27" s="426">
        <v>0.04</v>
      </c>
      <c r="T27" s="426">
        <v>0.04</v>
      </c>
      <c r="U27" s="426">
        <v>0.04</v>
      </c>
      <c r="V27" s="426">
        <v>0.04</v>
      </c>
      <c r="W27" s="426">
        <v>0.04</v>
      </c>
      <c r="X27" s="426">
        <v>0.04</v>
      </c>
      <c r="Y27" s="437">
        <v>1000</v>
      </c>
    </row>
    <row r="28" spans="1:25" x14ac:dyDescent="0.25">
      <c r="A28" s="434" t="s">
        <v>34</v>
      </c>
      <c r="B28" s="427">
        <v>0</v>
      </c>
      <c r="C28" s="428">
        <v>310</v>
      </c>
      <c r="D28" s="428">
        <v>250</v>
      </c>
      <c r="E28" s="428">
        <v>212</v>
      </c>
      <c r="F28" s="428">
        <v>0</v>
      </c>
      <c r="G28" s="428">
        <v>0</v>
      </c>
      <c r="H28" s="428">
        <v>0</v>
      </c>
      <c r="I28" s="428">
        <v>0</v>
      </c>
      <c r="J28" s="428">
        <v>0</v>
      </c>
      <c r="K28" s="428">
        <v>0</v>
      </c>
      <c r="L28" s="428">
        <v>0</v>
      </c>
      <c r="M28" s="428">
        <v>0</v>
      </c>
      <c r="N28" s="428">
        <v>0</v>
      </c>
      <c r="O28" s="428">
        <v>0</v>
      </c>
      <c r="P28" s="428">
        <v>0</v>
      </c>
      <c r="Q28" s="428">
        <v>0</v>
      </c>
      <c r="R28" s="428">
        <v>0</v>
      </c>
      <c r="S28" s="428">
        <v>0</v>
      </c>
      <c r="T28" s="428">
        <v>0</v>
      </c>
      <c r="U28" s="428">
        <v>0</v>
      </c>
      <c r="V28" s="428">
        <v>0</v>
      </c>
      <c r="W28" s="428">
        <v>0</v>
      </c>
      <c r="X28" s="428">
        <v>0</v>
      </c>
      <c r="Y28" s="438">
        <v>0</v>
      </c>
    </row>
    <row r="29" spans="1:25" ht="13.8" thickBot="1" x14ac:dyDescent="0.3">
      <c r="A29" s="435" t="s">
        <v>117</v>
      </c>
      <c r="B29" s="429">
        <f t="shared" ref="B29:X29" si="2">(C28+B28)*(C27-B27)/2</f>
        <v>0.155</v>
      </c>
      <c r="C29" s="430">
        <f t="shared" si="2"/>
        <v>5.32</v>
      </c>
      <c r="D29" s="430">
        <f t="shared" si="2"/>
        <v>4.1579999999999995</v>
      </c>
      <c r="E29" s="430">
        <f t="shared" si="2"/>
        <v>0.21200000000000019</v>
      </c>
      <c r="F29" s="430">
        <f t="shared" si="2"/>
        <v>0</v>
      </c>
      <c r="G29" s="430">
        <f t="shared" si="2"/>
        <v>0</v>
      </c>
      <c r="H29" s="430">
        <f t="shared" si="2"/>
        <v>0</v>
      </c>
      <c r="I29" s="430">
        <f t="shared" si="2"/>
        <v>0</v>
      </c>
      <c r="J29" s="430">
        <f t="shared" si="2"/>
        <v>0</v>
      </c>
      <c r="K29" s="430">
        <f t="shared" si="2"/>
        <v>0</v>
      </c>
      <c r="L29" s="430">
        <f t="shared" si="2"/>
        <v>0</v>
      </c>
      <c r="M29" s="430">
        <f t="shared" si="2"/>
        <v>0</v>
      </c>
      <c r="N29" s="430">
        <f t="shared" si="2"/>
        <v>0</v>
      </c>
      <c r="O29" s="430">
        <f t="shared" si="2"/>
        <v>0</v>
      </c>
      <c r="P29" s="430">
        <f t="shared" si="2"/>
        <v>0</v>
      </c>
      <c r="Q29" s="430">
        <f t="shared" si="2"/>
        <v>0</v>
      </c>
      <c r="R29" s="430">
        <f t="shared" si="2"/>
        <v>0</v>
      </c>
      <c r="S29" s="430">
        <f t="shared" si="2"/>
        <v>0</v>
      </c>
      <c r="T29" s="430">
        <f t="shared" si="2"/>
        <v>0</v>
      </c>
      <c r="U29" s="430">
        <f t="shared" si="2"/>
        <v>0</v>
      </c>
      <c r="V29" s="430">
        <f t="shared" si="2"/>
        <v>0</v>
      </c>
      <c r="W29" s="430">
        <f t="shared" si="2"/>
        <v>0</v>
      </c>
      <c r="X29" s="430">
        <f t="shared" si="2"/>
        <v>0</v>
      </c>
      <c r="Y29" s="424"/>
    </row>
    <row r="30" spans="1:25" ht="13.8" thickBot="1" x14ac:dyDescent="0.3">
      <c r="A30" s="17"/>
      <c r="L30" s="17"/>
      <c r="M30" s="17"/>
      <c r="N30" s="17"/>
      <c r="O30" s="17"/>
      <c r="P30" s="17"/>
      <c r="Q30" s="17"/>
      <c r="R30" s="17"/>
      <c r="S30" s="17"/>
      <c r="T30" s="17"/>
      <c r="U30" s="17"/>
      <c r="V30" s="17"/>
      <c r="W30" s="17"/>
      <c r="X30" s="17"/>
      <c r="Y30" s="17"/>
    </row>
    <row r="31" spans="1:25" ht="13.8" thickBot="1" x14ac:dyDescent="0.3">
      <c r="A31" s="416" t="s">
        <v>311</v>
      </c>
      <c r="B31" s="414">
        <f>ROW(A31)</f>
        <v>31</v>
      </c>
      <c r="C31" s="418" t="s">
        <v>116</v>
      </c>
      <c r="D31" s="408">
        <f>SUM(B34:Y34)</f>
        <v>13.814500000000002</v>
      </c>
      <c r="E31" s="418" t="s">
        <v>115</v>
      </c>
      <c r="F31" s="460">
        <f>D31/g/J31</f>
        <v>3.1293464718541175</v>
      </c>
      <c r="G31" s="418" t="s">
        <v>57</v>
      </c>
      <c r="H31" s="86">
        <v>0.45</v>
      </c>
      <c r="I31" s="418" t="s">
        <v>272</v>
      </c>
      <c r="J31" s="410">
        <f>H31-L31</f>
        <v>0.45</v>
      </c>
      <c r="K31" s="418" t="s">
        <v>273</v>
      </c>
      <c r="L31" s="86">
        <v>0</v>
      </c>
      <c r="M31" s="418" t="s">
        <v>58</v>
      </c>
      <c r="N31" s="87">
        <f>0.3*R31</f>
        <v>90</v>
      </c>
      <c r="O31" s="418" t="s">
        <v>60</v>
      </c>
      <c r="P31" s="87">
        <v>150</v>
      </c>
      <c r="Q31" s="418" t="s">
        <v>61</v>
      </c>
      <c r="R31" s="87">
        <v>300</v>
      </c>
      <c r="S31" s="418" t="s">
        <v>62</v>
      </c>
      <c r="T31" s="87">
        <v>90</v>
      </c>
      <c r="U31" s="418" t="s">
        <v>55</v>
      </c>
      <c r="V31" s="88" t="s">
        <v>277</v>
      </c>
      <c r="W31" s="17"/>
      <c r="X31" s="17"/>
      <c r="Y31" s="17"/>
    </row>
    <row r="32" spans="1:25" x14ac:dyDescent="0.25">
      <c r="A32" s="417" t="s">
        <v>33</v>
      </c>
      <c r="B32" s="425">
        <v>0</v>
      </c>
      <c r="C32" s="426">
        <v>1E-3</v>
      </c>
      <c r="D32" s="426">
        <v>0.02</v>
      </c>
      <c r="E32" s="426">
        <v>0.04</v>
      </c>
      <c r="F32" s="426">
        <v>6.0999999999999999E-2</v>
      </c>
      <c r="G32" s="426">
        <v>6.2E-2</v>
      </c>
      <c r="H32" s="426">
        <v>6.2E-2</v>
      </c>
      <c r="I32" s="426">
        <v>6.2E-2</v>
      </c>
      <c r="J32" s="426">
        <v>6.2E-2</v>
      </c>
      <c r="K32" s="426">
        <v>6.2E-2</v>
      </c>
      <c r="L32" s="426">
        <v>6.2E-2</v>
      </c>
      <c r="M32" s="426">
        <v>6.2E-2</v>
      </c>
      <c r="N32" s="426">
        <v>6.2E-2</v>
      </c>
      <c r="O32" s="426">
        <v>6.2E-2</v>
      </c>
      <c r="P32" s="426">
        <v>6.2E-2</v>
      </c>
      <c r="Q32" s="426">
        <v>6.2E-2</v>
      </c>
      <c r="R32" s="426">
        <v>6.2E-2</v>
      </c>
      <c r="S32" s="426">
        <v>6.2E-2</v>
      </c>
      <c r="T32" s="426">
        <v>6.2E-2</v>
      </c>
      <c r="U32" s="426">
        <v>6.2E-2</v>
      </c>
      <c r="V32" s="426">
        <v>6.2E-2</v>
      </c>
      <c r="W32" s="426">
        <v>6.2E-2</v>
      </c>
      <c r="X32" s="426">
        <v>6.2E-2</v>
      </c>
      <c r="Y32" s="437">
        <v>1000</v>
      </c>
    </row>
    <row r="33" spans="1:25" x14ac:dyDescent="0.25">
      <c r="A33" s="434" t="s">
        <v>34</v>
      </c>
      <c r="B33" s="427">
        <v>0</v>
      </c>
      <c r="C33" s="428">
        <v>310</v>
      </c>
      <c r="D33" s="428">
        <v>245</v>
      </c>
      <c r="E33" s="428">
        <v>200</v>
      </c>
      <c r="F33" s="428">
        <v>167</v>
      </c>
      <c r="G33" s="428">
        <v>0</v>
      </c>
      <c r="H33" s="428">
        <v>0</v>
      </c>
      <c r="I33" s="428">
        <v>0</v>
      </c>
      <c r="J33" s="428">
        <v>0</v>
      </c>
      <c r="K33" s="428">
        <v>0</v>
      </c>
      <c r="L33" s="428">
        <v>0</v>
      </c>
      <c r="M33" s="428">
        <v>0</v>
      </c>
      <c r="N33" s="428">
        <v>0</v>
      </c>
      <c r="O33" s="428">
        <v>0</v>
      </c>
      <c r="P33" s="428">
        <v>0</v>
      </c>
      <c r="Q33" s="428">
        <v>0</v>
      </c>
      <c r="R33" s="428">
        <v>0</v>
      </c>
      <c r="S33" s="428">
        <v>0</v>
      </c>
      <c r="T33" s="428">
        <v>0</v>
      </c>
      <c r="U33" s="428">
        <v>0</v>
      </c>
      <c r="V33" s="428">
        <v>0</v>
      </c>
      <c r="W33" s="428">
        <v>0</v>
      </c>
      <c r="X33" s="428">
        <v>0</v>
      </c>
      <c r="Y33" s="438">
        <v>0</v>
      </c>
    </row>
    <row r="34" spans="1:25" ht="13.8" thickBot="1" x14ac:dyDescent="0.3">
      <c r="A34" s="435" t="s">
        <v>117</v>
      </c>
      <c r="B34" s="429">
        <f t="shared" ref="B34:X34" si="3">(C33+B33)*(C32-B32)/2</f>
        <v>0.155</v>
      </c>
      <c r="C34" s="430">
        <f t="shared" si="3"/>
        <v>5.2725</v>
      </c>
      <c r="D34" s="430">
        <f t="shared" si="3"/>
        <v>4.45</v>
      </c>
      <c r="E34" s="430">
        <f t="shared" si="3"/>
        <v>3.8534999999999995</v>
      </c>
      <c r="F34" s="430">
        <f t="shared" si="3"/>
        <v>8.3500000000000074E-2</v>
      </c>
      <c r="G34" s="430">
        <f t="shared" si="3"/>
        <v>0</v>
      </c>
      <c r="H34" s="430">
        <f t="shared" si="3"/>
        <v>0</v>
      </c>
      <c r="I34" s="430">
        <f t="shared" si="3"/>
        <v>0</v>
      </c>
      <c r="J34" s="430">
        <f t="shared" si="3"/>
        <v>0</v>
      </c>
      <c r="K34" s="430">
        <f t="shared" si="3"/>
        <v>0</v>
      </c>
      <c r="L34" s="430">
        <f t="shared" si="3"/>
        <v>0</v>
      </c>
      <c r="M34" s="430">
        <f t="shared" si="3"/>
        <v>0</v>
      </c>
      <c r="N34" s="430">
        <f t="shared" si="3"/>
        <v>0</v>
      </c>
      <c r="O34" s="430">
        <f t="shared" si="3"/>
        <v>0</v>
      </c>
      <c r="P34" s="430">
        <f t="shared" si="3"/>
        <v>0</v>
      </c>
      <c r="Q34" s="430">
        <f t="shared" si="3"/>
        <v>0</v>
      </c>
      <c r="R34" s="430">
        <f t="shared" si="3"/>
        <v>0</v>
      </c>
      <c r="S34" s="430">
        <f t="shared" si="3"/>
        <v>0</v>
      </c>
      <c r="T34" s="430">
        <f t="shared" si="3"/>
        <v>0</v>
      </c>
      <c r="U34" s="430">
        <f t="shared" si="3"/>
        <v>0</v>
      </c>
      <c r="V34" s="430">
        <f t="shared" si="3"/>
        <v>0</v>
      </c>
      <c r="W34" s="430">
        <f t="shared" si="3"/>
        <v>0</v>
      </c>
      <c r="X34" s="430">
        <f t="shared" si="3"/>
        <v>0</v>
      </c>
      <c r="Y34" s="424"/>
    </row>
    <row r="35" spans="1:25" ht="13.8" thickBot="1" x14ac:dyDescent="0.3">
      <c r="B35" s="17"/>
      <c r="C35" s="17"/>
      <c r="D35" s="17"/>
      <c r="E35" s="17"/>
      <c r="F35" s="17"/>
      <c r="G35" s="17"/>
      <c r="H35" s="17"/>
      <c r="I35" s="17"/>
      <c r="J35" s="17"/>
      <c r="K35" s="17"/>
      <c r="L35" s="17"/>
      <c r="M35" s="17"/>
      <c r="N35" s="17"/>
      <c r="O35" s="17"/>
      <c r="P35" s="17"/>
      <c r="Q35" s="17"/>
      <c r="R35" s="17"/>
      <c r="S35" s="17"/>
      <c r="T35" s="17"/>
      <c r="U35" s="17"/>
      <c r="V35" s="17"/>
      <c r="W35" s="17"/>
      <c r="X35" s="17"/>
      <c r="Y35" s="17"/>
    </row>
    <row r="36" spans="1:25" ht="13.8" thickBot="1" x14ac:dyDescent="0.3">
      <c r="A36" s="416" t="s">
        <v>312</v>
      </c>
      <c r="B36" s="414">
        <f>ROW(A36)</f>
        <v>36</v>
      </c>
      <c r="C36" s="418" t="s">
        <v>116</v>
      </c>
      <c r="D36" s="408">
        <f>SUM(B39:Y39)</f>
        <v>17.144499999999997</v>
      </c>
      <c r="E36" s="418" t="s">
        <v>115</v>
      </c>
      <c r="F36" s="460">
        <f>D36/g/J36</f>
        <v>2.9127590893645934</v>
      </c>
      <c r="G36" s="418" t="s">
        <v>57</v>
      </c>
      <c r="H36" s="86">
        <v>0.6</v>
      </c>
      <c r="I36" s="418" t="s">
        <v>272</v>
      </c>
      <c r="J36" s="410">
        <f>H36-L36</f>
        <v>0.6</v>
      </c>
      <c r="K36" s="418" t="s">
        <v>273</v>
      </c>
      <c r="L36" s="86">
        <v>0</v>
      </c>
      <c r="M36" s="418" t="s">
        <v>58</v>
      </c>
      <c r="N36" s="87">
        <f>0.4*R36</f>
        <v>120</v>
      </c>
      <c r="O36" s="418" t="s">
        <v>60</v>
      </c>
      <c r="P36" s="87">
        <v>150</v>
      </c>
      <c r="Q36" s="418" t="s">
        <v>61</v>
      </c>
      <c r="R36" s="87">
        <v>300</v>
      </c>
      <c r="S36" s="418" t="s">
        <v>62</v>
      </c>
      <c r="T36" s="87">
        <v>90</v>
      </c>
      <c r="U36" s="418" t="s">
        <v>55</v>
      </c>
      <c r="V36" s="88" t="s">
        <v>277</v>
      </c>
      <c r="W36" s="17"/>
      <c r="X36" s="17"/>
      <c r="Y36" s="17"/>
    </row>
    <row r="37" spans="1:25" x14ac:dyDescent="0.25">
      <c r="A37" s="417" t="s">
        <v>33</v>
      </c>
      <c r="B37" s="425">
        <v>0</v>
      </c>
      <c r="C37" s="426">
        <v>1E-3</v>
      </c>
      <c r="D37" s="426">
        <v>0.02</v>
      </c>
      <c r="E37" s="426">
        <v>0.04</v>
      </c>
      <c r="F37" s="426">
        <v>0.06</v>
      </c>
      <c r="G37" s="426">
        <v>0.08</v>
      </c>
      <c r="H37" s="426">
        <v>8.7999999999999995E-2</v>
      </c>
      <c r="I37" s="426">
        <v>8.8999999999999996E-2</v>
      </c>
      <c r="J37" s="426">
        <v>8.8999999999999996E-2</v>
      </c>
      <c r="K37" s="426">
        <v>8.8999999999999996E-2</v>
      </c>
      <c r="L37" s="426">
        <v>8.8999999999999996E-2</v>
      </c>
      <c r="M37" s="426">
        <v>8.8999999999999996E-2</v>
      </c>
      <c r="N37" s="426">
        <v>8.8999999999999996E-2</v>
      </c>
      <c r="O37" s="426">
        <v>8.8999999999999996E-2</v>
      </c>
      <c r="P37" s="426">
        <v>8.8999999999999996E-2</v>
      </c>
      <c r="Q37" s="426">
        <v>8.8999999999999996E-2</v>
      </c>
      <c r="R37" s="426">
        <v>8.8999999999999996E-2</v>
      </c>
      <c r="S37" s="426">
        <v>8.8999999999999996E-2</v>
      </c>
      <c r="T37" s="426">
        <v>8.8999999999999996E-2</v>
      </c>
      <c r="U37" s="426">
        <v>8.8999999999999996E-2</v>
      </c>
      <c r="V37" s="426">
        <v>8.8999999999999996E-2</v>
      </c>
      <c r="W37" s="426">
        <v>8.8999999999999996E-2</v>
      </c>
      <c r="X37" s="426">
        <v>8.8999999999999996E-2</v>
      </c>
      <c r="Y37" s="437">
        <v>1000</v>
      </c>
    </row>
    <row r="38" spans="1:25" x14ac:dyDescent="0.25">
      <c r="A38" s="434" t="s">
        <v>34</v>
      </c>
      <c r="B38" s="427">
        <v>0</v>
      </c>
      <c r="C38" s="428">
        <v>310</v>
      </c>
      <c r="D38" s="428">
        <v>240</v>
      </c>
      <c r="E38" s="428">
        <v>190</v>
      </c>
      <c r="F38" s="428">
        <v>157</v>
      </c>
      <c r="G38" s="428">
        <v>133</v>
      </c>
      <c r="H38" s="428">
        <v>125</v>
      </c>
      <c r="I38" s="428">
        <v>0</v>
      </c>
      <c r="J38" s="428">
        <v>0</v>
      </c>
      <c r="K38" s="428">
        <v>0</v>
      </c>
      <c r="L38" s="428">
        <v>0</v>
      </c>
      <c r="M38" s="428">
        <v>0</v>
      </c>
      <c r="N38" s="428">
        <v>0</v>
      </c>
      <c r="O38" s="428">
        <v>0</v>
      </c>
      <c r="P38" s="428">
        <v>0</v>
      </c>
      <c r="Q38" s="428">
        <v>0</v>
      </c>
      <c r="R38" s="428">
        <v>0</v>
      </c>
      <c r="S38" s="428">
        <v>0</v>
      </c>
      <c r="T38" s="428">
        <v>0</v>
      </c>
      <c r="U38" s="428">
        <v>0</v>
      </c>
      <c r="V38" s="428">
        <v>0</v>
      </c>
      <c r="W38" s="428">
        <v>0</v>
      </c>
      <c r="X38" s="428">
        <v>0</v>
      </c>
      <c r="Y38" s="438">
        <v>0</v>
      </c>
    </row>
    <row r="39" spans="1:25" ht="13.8" thickBot="1" x14ac:dyDescent="0.3">
      <c r="A39" s="435" t="s">
        <v>117</v>
      </c>
      <c r="B39" s="429">
        <f t="shared" ref="B39:X39" si="4">(C38+B38)*(C37-B37)/2</f>
        <v>0.155</v>
      </c>
      <c r="C39" s="430">
        <f t="shared" si="4"/>
        <v>5.2249999999999996</v>
      </c>
      <c r="D39" s="430">
        <f t="shared" si="4"/>
        <v>4.3</v>
      </c>
      <c r="E39" s="430">
        <f t="shared" si="4"/>
        <v>3.4699999999999993</v>
      </c>
      <c r="F39" s="430">
        <f t="shared" si="4"/>
        <v>2.9000000000000004</v>
      </c>
      <c r="G39" s="430">
        <f t="shared" si="4"/>
        <v>1.0319999999999991</v>
      </c>
      <c r="H39" s="430">
        <f t="shared" si="4"/>
        <v>6.2500000000000056E-2</v>
      </c>
      <c r="I39" s="430">
        <f t="shared" si="4"/>
        <v>0</v>
      </c>
      <c r="J39" s="430">
        <f t="shared" si="4"/>
        <v>0</v>
      </c>
      <c r="K39" s="430">
        <f t="shared" si="4"/>
        <v>0</v>
      </c>
      <c r="L39" s="430">
        <f t="shared" si="4"/>
        <v>0</v>
      </c>
      <c r="M39" s="430">
        <f t="shared" si="4"/>
        <v>0</v>
      </c>
      <c r="N39" s="430">
        <f t="shared" si="4"/>
        <v>0</v>
      </c>
      <c r="O39" s="430">
        <f t="shared" si="4"/>
        <v>0</v>
      </c>
      <c r="P39" s="430">
        <f t="shared" si="4"/>
        <v>0</v>
      </c>
      <c r="Q39" s="430">
        <f t="shared" si="4"/>
        <v>0</v>
      </c>
      <c r="R39" s="430">
        <f t="shared" si="4"/>
        <v>0</v>
      </c>
      <c r="S39" s="430">
        <f t="shared" si="4"/>
        <v>0</v>
      </c>
      <c r="T39" s="430">
        <f t="shared" si="4"/>
        <v>0</v>
      </c>
      <c r="U39" s="430">
        <f t="shared" si="4"/>
        <v>0</v>
      </c>
      <c r="V39" s="430">
        <f t="shared" si="4"/>
        <v>0</v>
      </c>
      <c r="W39" s="430">
        <f t="shared" si="4"/>
        <v>0</v>
      </c>
      <c r="X39" s="430">
        <f t="shared" si="4"/>
        <v>0</v>
      </c>
      <c r="Y39" s="424"/>
    </row>
    <row r="40" spans="1:25" ht="13.8" thickBot="1" x14ac:dyDescent="0.3">
      <c r="A40" s="17"/>
      <c r="L40" s="17"/>
      <c r="M40" s="17"/>
      <c r="N40" s="17"/>
      <c r="O40" s="17"/>
      <c r="P40" s="17"/>
      <c r="Q40" s="17"/>
      <c r="R40" s="17"/>
      <c r="S40" s="17"/>
      <c r="T40" s="17"/>
      <c r="U40" s="17"/>
      <c r="V40" s="17"/>
      <c r="W40" s="17"/>
      <c r="X40" s="17"/>
      <c r="Y40" s="17"/>
    </row>
    <row r="41" spans="1:25" ht="13.8" thickBot="1" x14ac:dyDescent="0.3">
      <c r="A41" s="416" t="s">
        <v>313</v>
      </c>
      <c r="B41" s="414">
        <f>ROW(A41)</f>
        <v>41</v>
      </c>
      <c r="C41" s="418" t="s">
        <v>116</v>
      </c>
      <c r="D41" s="408">
        <f>SUM(B44:Y44)</f>
        <v>19.415000000000003</v>
      </c>
      <c r="E41" s="418" t="s">
        <v>115</v>
      </c>
      <c r="F41" s="460">
        <f>D41/g/J41</f>
        <v>2.6388039415562354</v>
      </c>
      <c r="G41" s="418" t="s">
        <v>57</v>
      </c>
      <c r="H41" s="86">
        <v>0.75</v>
      </c>
      <c r="I41" s="418" t="s">
        <v>272</v>
      </c>
      <c r="J41" s="410">
        <f>H41-L41</f>
        <v>0.75</v>
      </c>
      <c r="K41" s="418" t="s">
        <v>273</v>
      </c>
      <c r="L41" s="86">
        <v>0</v>
      </c>
      <c r="M41" s="418" t="s">
        <v>58</v>
      </c>
      <c r="N41" s="87">
        <f>0.5*R41</f>
        <v>150</v>
      </c>
      <c r="O41" s="418" t="s">
        <v>60</v>
      </c>
      <c r="P41" s="87">
        <v>150</v>
      </c>
      <c r="Q41" s="418" t="s">
        <v>61</v>
      </c>
      <c r="R41" s="87">
        <v>300</v>
      </c>
      <c r="S41" s="418" t="s">
        <v>62</v>
      </c>
      <c r="T41" s="87">
        <v>90</v>
      </c>
      <c r="U41" s="418" t="s">
        <v>55</v>
      </c>
      <c r="V41" s="88" t="s">
        <v>277</v>
      </c>
      <c r="W41" s="17"/>
      <c r="X41" s="17"/>
      <c r="Y41" s="17"/>
    </row>
    <row r="42" spans="1:25" x14ac:dyDescent="0.25">
      <c r="A42" s="417" t="s">
        <v>33</v>
      </c>
      <c r="B42" s="425">
        <v>0</v>
      </c>
      <c r="C42" s="426">
        <v>1E-3</v>
      </c>
      <c r="D42" s="426">
        <v>0.02</v>
      </c>
      <c r="E42" s="426">
        <v>0.04</v>
      </c>
      <c r="F42" s="426">
        <v>0.06</v>
      </c>
      <c r="G42" s="426">
        <v>0.08</v>
      </c>
      <c r="H42" s="426">
        <v>0.1</v>
      </c>
      <c r="I42" s="426">
        <v>0.123</v>
      </c>
      <c r="J42" s="426">
        <v>0.124</v>
      </c>
      <c r="K42" s="426">
        <v>0.124</v>
      </c>
      <c r="L42" s="426">
        <v>0.124</v>
      </c>
      <c r="M42" s="426">
        <v>0.124</v>
      </c>
      <c r="N42" s="426">
        <v>0.124</v>
      </c>
      <c r="O42" s="426">
        <v>0.124</v>
      </c>
      <c r="P42" s="426">
        <v>0.124</v>
      </c>
      <c r="Q42" s="426">
        <v>0.124</v>
      </c>
      <c r="R42" s="426">
        <v>0.124</v>
      </c>
      <c r="S42" s="426">
        <v>0.124</v>
      </c>
      <c r="T42" s="426">
        <v>0.124</v>
      </c>
      <c r="U42" s="426">
        <v>0.124</v>
      </c>
      <c r="V42" s="426">
        <v>0.124</v>
      </c>
      <c r="W42" s="426">
        <v>0.124</v>
      </c>
      <c r="X42" s="426">
        <v>0.124</v>
      </c>
      <c r="Y42" s="437">
        <v>1000</v>
      </c>
    </row>
    <row r="43" spans="1:25" x14ac:dyDescent="0.25">
      <c r="A43" s="434" t="s">
        <v>34</v>
      </c>
      <c r="B43" s="427">
        <v>0</v>
      </c>
      <c r="C43" s="428">
        <v>310</v>
      </c>
      <c r="D43" s="428">
        <v>230</v>
      </c>
      <c r="E43" s="428">
        <v>175</v>
      </c>
      <c r="F43" s="428">
        <v>140</v>
      </c>
      <c r="G43" s="428">
        <v>118</v>
      </c>
      <c r="H43" s="428">
        <v>100</v>
      </c>
      <c r="I43" s="428">
        <v>85</v>
      </c>
      <c r="J43" s="428">
        <v>0</v>
      </c>
      <c r="K43" s="428">
        <v>0</v>
      </c>
      <c r="L43" s="428">
        <v>0</v>
      </c>
      <c r="M43" s="428">
        <v>0</v>
      </c>
      <c r="N43" s="428">
        <v>0</v>
      </c>
      <c r="O43" s="428">
        <v>0</v>
      </c>
      <c r="P43" s="428">
        <v>0</v>
      </c>
      <c r="Q43" s="428">
        <v>0</v>
      </c>
      <c r="R43" s="428">
        <v>0</v>
      </c>
      <c r="S43" s="428">
        <v>0</v>
      </c>
      <c r="T43" s="428">
        <v>0</v>
      </c>
      <c r="U43" s="428">
        <v>0</v>
      </c>
      <c r="V43" s="428">
        <v>0</v>
      </c>
      <c r="W43" s="428">
        <v>0</v>
      </c>
      <c r="X43" s="428">
        <v>0</v>
      </c>
      <c r="Y43" s="438">
        <v>0</v>
      </c>
    </row>
    <row r="44" spans="1:25" ht="13.8" thickBot="1" x14ac:dyDescent="0.3">
      <c r="A44" s="435" t="s">
        <v>117</v>
      </c>
      <c r="B44" s="429">
        <f t="shared" ref="B44:X44" si="5">(C43+B43)*(C42-B42)/2</f>
        <v>0.155</v>
      </c>
      <c r="C44" s="430">
        <f t="shared" si="5"/>
        <v>5.13</v>
      </c>
      <c r="D44" s="430">
        <f t="shared" si="5"/>
        <v>4.05</v>
      </c>
      <c r="E44" s="430">
        <f t="shared" si="5"/>
        <v>3.1499999999999995</v>
      </c>
      <c r="F44" s="430">
        <f t="shared" si="5"/>
        <v>2.5800000000000005</v>
      </c>
      <c r="G44" s="430">
        <f t="shared" si="5"/>
        <v>2.1800000000000006</v>
      </c>
      <c r="H44" s="430">
        <f t="shared" si="5"/>
        <v>2.1274999999999995</v>
      </c>
      <c r="I44" s="430">
        <f t="shared" si="5"/>
        <v>4.2500000000000038E-2</v>
      </c>
      <c r="J44" s="430">
        <f t="shared" si="5"/>
        <v>0</v>
      </c>
      <c r="K44" s="430">
        <f t="shared" si="5"/>
        <v>0</v>
      </c>
      <c r="L44" s="430">
        <f t="shared" si="5"/>
        <v>0</v>
      </c>
      <c r="M44" s="430">
        <f t="shared" si="5"/>
        <v>0</v>
      </c>
      <c r="N44" s="430">
        <f t="shared" si="5"/>
        <v>0</v>
      </c>
      <c r="O44" s="430">
        <f t="shared" si="5"/>
        <v>0</v>
      </c>
      <c r="P44" s="430">
        <f t="shared" si="5"/>
        <v>0</v>
      </c>
      <c r="Q44" s="430">
        <f t="shared" si="5"/>
        <v>0</v>
      </c>
      <c r="R44" s="430">
        <f t="shared" si="5"/>
        <v>0</v>
      </c>
      <c r="S44" s="430">
        <f t="shared" si="5"/>
        <v>0</v>
      </c>
      <c r="T44" s="430">
        <f t="shared" si="5"/>
        <v>0</v>
      </c>
      <c r="U44" s="430">
        <f t="shared" si="5"/>
        <v>0</v>
      </c>
      <c r="V44" s="430">
        <f t="shared" si="5"/>
        <v>0</v>
      </c>
      <c r="W44" s="430">
        <f t="shared" si="5"/>
        <v>0</v>
      </c>
      <c r="X44" s="430">
        <f t="shared" si="5"/>
        <v>0</v>
      </c>
      <c r="Y44" s="424"/>
    </row>
    <row r="45" spans="1:25" ht="13.8" thickBot="1" x14ac:dyDescent="0.3"/>
    <row r="46" spans="1:25" ht="13.8" thickBot="1" x14ac:dyDescent="0.3">
      <c r="A46" s="416" t="s">
        <v>278</v>
      </c>
      <c r="B46" s="414">
        <f>ROW(A46)</f>
        <v>46</v>
      </c>
      <c r="C46" s="418" t="s">
        <v>116</v>
      </c>
      <c r="D46" s="408">
        <f>SUM(B49:Y49)</f>
        <v>12.8695</v>
      </c>
      <c r="E46" s="418" t="s">
        <v>115</v>
      </c>
      <c r="F46" s="460">
        <f>D46/g/J46</f>
        <v>3.2796890927624869</v>
      </c>
      <c r="G46" s="418" t="s">
        <v>57</v>
      </c>
      <c r="H46" s="86">
        <v>0.5</v>
      </c>
      <c r="I46" s="418" t="s">
        <v>272</v>
      </c>
      <c r="J46" s="410">
        <f>H46-L46</f>
        <v>0.4</v>
      </c>
      <c r="K46" s="418" t="s">
        <v>273</v>
      </c>
      <c r="L46" s="86">
        <v>0.1</v>
      </c>
      <c r="M46" s="418" t="s">
        <v>58</v>
      </c>
      <c r="N46" s="87">
        <f>0.2*R46</f>
        <v>60</v>
      </c>
      <c r="O46" s="418" t="s">
        <v>60</v>
      </c>
      <c r="P46" s="87">
        <v>150</v>
      </c>
      <c r="Q46" s="418" t="s">
        <v>61</v>
      </c>
      <c r="R46" s="87">
        <v>300</v>
      </c>
      <c r="S46" s="418" t="s">
        <v>62</v>
      </c>
      <c r="T46" s="87">
        <v>98</v>
      </c>
      <c r="U46" s="418" t="s">
        <v>55</v>
      </c>
      <c r="V46" s="88" t="s">
        <v>277</v>
      </c>
      <c r="W46" s="17"/>
      <c r="X46" s="17"/>
      <c r="Y46" s="17"/>
    </row>
    <row r="47" spans="1:25" x14ac:dyDescent="0.25">
      <c r="A47" s="417" t="s">
        <v>33</v>
      </c>
      <c r="B47" s="425">
        <v>0</v>
      </c>
      <c r="C47" s="426">
        <v>1E-3</v>
      </c>
      <c r="D47" s="426">
        <v>0.02</v>
      </c>
      <c r="E47" s="426">
        <v>0.04</v>
      </c>
      <c r="F47" s="426">
        <v>0.05</v>
      </c>
      <c r="G47" s="426">
        <v>5.0999999999999997E-2</v>
      </c>
      <c r="H47" s="426">
        <v>5.0999999999999997E-2</v>
      </c>
      <c r="I47" s="426">
        <v>5.0999999999999997E-2</v>
      </c>
      <c r="J47" s="426">
        <v>5.0999999999999997E-2</v>
      </c>
      <c r="K47" s="426">
        <v>5.0999999999999997E-2</v>
      </c>
      <c r="L47" s="426">
        <v>5.0999999999999997E-2</v>
      </c>
      <c r="M47" s="426">
        <v>5.0999999999999997E-2</v>
      </c>
      <c r="N47" s="426">
        <v>5.0999999999999997E-2</v>
      </c>
      <c r="O47" s="426">
        <v>5.0999999999999997E-2</v>
      </c>
      <c r="P47" s="426">
        <v>5.0999999999999997E-2</v>
      </c>
      <c r="Q47" s="426">
        <v>5.0999999999999997E-2</v>
      </c>
      <c r="R47" s="426">
        <v>5.0999999999999997E-2</v>
      </c>
      <c r="S47" s="426">
        <v>5.0999999999999997E-2</v>
      </c>
      <c r="T47" s="426">
        <v>5.0999999999999997E-2</v>
      </c>
      <c r="U47" s="426">
        <v>5.0999999999999997E-2</v>
      </c>
      <c r="V47" s="426">
        <v>5.0999999999999997E-2</v>
      </c>
      <c r="W47" s="426">
        <v>5.0999999999999997E-2</v>
      </c>
      <c r="X47" s="426">
        <v>5.0999999999999997E-2</v>
      </c>
      <c r="Y47" s="437">
        <v>1000</v>
      </c>
    </row>
    <row r="48" spans="1:25" x14ac:dyDescent="0.25">
      <c r="A48" s="434" t="s">
        <v>34</v>
      </c>
      <c r="B48" s="427">
        <v>0</v>
      </c>
      <c r="C48" s="428">
        <v>310</v>
      </c>
      <c r="D48" s="428">
        <v>264</v>
      </c>
      <c r="E48" s="428">
        <v>230</v>
      </c>
      <c r="F48" s="428">
        <v>213</v>
      </c>
      <c r="G48" s="428">
        <v>0</v>
      </c>
      <c r="H48" s="428">
        <v>0</v>
      </c>
      <c r="I48" s="428">
        <v>0</v>
      </c>
      <c r="J48" s="428">
        <v>0</v>
      </c>
      <c r="K48" s="428">
        <v>0</v>
      </c>
      <c r="L48" s="428">
        <v>0</v>
      </c>
      <c r="M48" s="428">
        <v>0</v>
      </c>
      <c r="N48" s="428">
        <v>0</v>
      </c>
      <c r="O48" s="428">
        <v>0</v>
      </c>
      <c r="P48" s="428">
        <v>0</v>
      </c>
      <c r="Q48" s="428">
        <v>0</v>
      </c>
      <c r="R48" s="428">
        <v>0</v>
      </c>
      <c r="S48" s="428">
        <v>0</v>
      </c>
      <c r="T48" s="428">
        <v>0</v>
      </c>
      <c r="U48" s="428">
        <v>0</v>
      </c>
      <c r="V48" s="428">
        <v>0</v>
      </c>
      <c r="W48" s="428">
        <v>0</v>
      </c>
      <c r="X48" s="428">
        <v>0</v>
      </c>
      <c r="Y48" s="438">
        <v>0</v>
      </c>
    </row>
    <row r="49" spans="1:25" ht="13.8" thickBot="1" x14ac:dyDescent="0.3">
      <c r="A49" s="435" t="s">
        <v>117</v>
      </c>
      <c r="B49" s="429">
        <f t="shared" ref="B49:X49" si="6">(C48+B48)*(C47-B47)/2</f>
        <v>0.155</v>
      </c>
      <c r="C49" s="430">
        <f t="shared" si="6"/>
        <v>5.4530000000000003</v>
      </c>
      <c r="D49" s="430">
        <f t="shared" si="6"/>
        <v>4.9400000000000004</v>
      </c>
      <c r="E49" s="430">
        <f t="shared" si="6"/>
        <v>2.2150000000000003</v>
      </c>
      <c r="F49" s="430">
        <f t="shared" si="6"/>
        <v>0.10649999999999936</v>
      </c>
      <c r="G49" s="430">
        <f t="shared" si="6"/>
        <v>0</v>
      </c>
      <c r="H49" s="430">
        <f t="shared" si="6"/>
        <v>0</v>
      </c>
      <c r="I49" s="430">
        <f t="shared" si="6"/>
        <v>0</v>
      </c>
      <c r="J49" s="430">
        <f t="shared" si="6"/>
        <v>0</v>
      </c>
      <c r="K49" s="430">
        <f t="shared" si="6"/>
        <v>0</v>
      </c>
      <c r="L49" s="430">
        <f t="shared" si="6"/>
        <v>0</v>
      </c>
      <c r="M49" s="430">
        <f t="shared" si="6"/>
        <v>0</v>
      </c>
      <c r="N49" s="430">
        <f t="shared" si="6"/>
        <v>0</v>
      </c>
      <c r="O49" s="430">
        <f t="shared" si="6"/>
        <v>0</v>
      </c>
      <c r="P49" s="430">
        <f t="shared" si="6"/>
        <v>0</v>
      </c>
      <c r="Q49" s="430">
        <f t="shared" si="6"/>
        <v>0</v>
      </c>
      <c r="R49" s="430">
        <f t="shared" si="6"/>
        <v>0</v>
      </c>
      <c r="S49" s="430">
        <f t="shared" si="6"/>
        <v>0</v>
      </c>
      <c r="T49" s="430">
        <f t="shared" si="6"/>
        <v>0</v>
      </c>
      <c r="U49" s="430">
        <f t="shared" si="6"/>
        <v>0</v>
      </c>
      <c r="V49" s="430">
        <f t="shared" si="6"/>
        <v>0</v>
      </c>
      <c r="W49" s="430">
        <f t="shared" si="6"/>
        <v>0</v>
      </c>
      <c r="X49" s="430">
        <f t="shared" si="6"/>
        <v>0</v>
      </c>
      <c r="Y49" s="424"/>
    </row>
    <row r="50" spans="1:25" ht="13.8" thickBot="1" x14ac:dyDescent="0.3">
      <c r="A50" s="17"/>
      <c r="L50" s="17"/>
      <c r="M50" s="17"/>
      <c r="N50" s="17"/>
      <c r="O50" s="17"/>
      <c r="P50" s="17"/>
      <c r="Q50" s="17"/>
      <c r="R50" s="17"/>
      <c r="S50" s="17"/>
      <c r="T50" s="17"/>
      <c r="U50" s="17"/>
      <c r="V50" s="17"/>
      <c r="W50" s="17"/>
      <c r="X50" s="17"/>
      <c r="Y50" s="17"/>
    </row>
    <row r="51" spans="1:25" ht="13.8" thickBot="1" x14ac:dyDescent="0.3">
      <c r="A51" s="416" t="s">
        <v>279</v>
      </c>
      <c r="B51" s="414">
        <f>ROW(A51)</f>
        <v>51</v>
      </c>
      <c r="C51" s="418" t="s">
        <v>116</v>
      </c>
      <c r="D51" s="408">
        <f>SUM(B54:Y54)</f>
        <v>18.123500000000003</v>
      </c>
      <c r="E51" s="418" t="s">
        <v>115</v>
      </c>
      <c r="F51" s="460">
        <f>D51/g/J51</f>
        <v>3.0790859667006463</v>
      </c>
      <c r="G51" s="418" t="s">
        <v>57</v>
      </c>
      <c r="H51" s="86">
        <v>0.7</v>
      </c>
      <c r="I51" s="418" t="s">
        <v>272</v>
      </c>
      <c r="J51" s="410">
        <f>H51-L51</f>
        <v>0.6</v>
      </c>
      <c r="K51" s="418" t="s">
        <v>273</v>
      </c>
      <c r="L51" s="86">
        <v>0.1</v>
      </c>
      <c r="M51" s="418" t="s">
        <v>58</v>
      </c>
      <c r="N51" s="87">
        <f>0.3*R51</f>
        <v>90</v>
      </c>
      <c r="O51" s="418" t="s">
        <v>60</v>
      </c>
      <c r="P51" s="87">
        <v>150</v>
      </c>
      <c r="Q51" s="418" t="s">
        <v>61</v>
      </c>
      <c r="R51" s="87">
        <v>300</v>
      </c>
      <c r="S51" s="418" t="s">
        <v>62</v>
      </c>
      <c r="T51" s="87">
        <v>98</v>
      </c>
      <c r="U51" s="418" t="s">
        <v>55</v>
      </c>
      <c r="V51" s="88" t="s">
        <v>277</v>
      </c>
      <c r="W51" s="17"/>
      <c r="X51" s="17"/>
      <c r="Y51" s="17"/>
    </row>
    <row r="52" spans="1:25" x14ac:dyDescent="0.25">
      <c r="A52" s="417" t="s">
        <v>33</v>
      </c>
      <c r="B52" s="425">
        <v>0</v>
      </c>
      <c r="C52" s="426">
        <v>1E-3</v>
      </c>
      <c r="D52" s="426">
        <v>0.02</v>
      </c>
      <c r="E52" s="426">
        <v>0.04</v>
      </c>
      <c r="F52" s="426">
        <v>0.06</v>
      </c>
      <c r="G52" s="426">
        <v>0.08</v>
      </c>
      <c r="H52" s="426">
        <v>8.1000000000000003E-2</v>
      </c>
      <c r="I52" s="426">
        <v>8.1000000000000003E-2</v>
      </c>
      <c r="J52" s="426">
        <v>8.1000000000000003E-2</v>
      </c>
      <c r="K52" s="426">
        <v>8.1000000000000003E-2</v>
      </c>
      <c r="L52" s="426">
        <v>8.1000000000000003E-2</v>
      </c>
      <c r="M52" s="426">
        <v>8.1000000000000003E-2</v>
      </c>
      <c r="N52" s="426">
        <v>8.1000000000000003E-2</v>
      </c>
      <c r="O52" s="426">
        <v>8.1000000000000003E-2</v>
      </c>
      <c r="P52" s="426">
        <v>8.1000000000000003E-2</v>
      </c>
      <c r="Q52" s="426">
        <v>8.1000000000000003E-2</v>
      </c>
      <c r="R52" s="426">
        <v>8.1000000000000003E-2</v>
      </c>
      <c r="S52" s="426">
        <v>8.1000000000000003E-2</v>
      </c>
      <c r="T52" s="426">
        <v>8.1000000000000003E-2</v>
      </c>
      <c r="U52" s="426">
        <v>8.1000000000000003E-2</v>
      </c>
      <c r="V52" s="426">
        <v>8.1000000000000003E-2</v>
      </c>
      <c r="W52" s="426">
        <v>8.1000000000000003E-2</v>
      </c>
      <c r="X52" s="426">
        <v>8.1000000000000003E-2</v>
      </c>
      <c r="Y52" s="437">
        <v>1000</v>
      </c>
    </row>
    <row r="53" spans="1:25" x14ac:dyDescent="0.25">
      <c r="A53" s="434" t="s">
        <v>34</v>
      </c>
      <c r="B53" s="427">
        <v>0</v>
      </c>
      <c r="C53" s="428">
        <v>310</v>
      </c>
      <c r="D53" s="428">
        <v>260</v>
      </c>
      <c r="E53" s="428">
        <v>220</v>
      </c>
      <c r="F53" s="428">
        <v>190</v>
      </c>
      <c r="G53" s="428">
        <v>167</v>
      </c>
      <c r="H53" s="428">
        <v>0</v>
      </c>
      <c r="I53" s="428">
        <v>0</v>
      </c>
      <c r="J53" s="428">
        <v>0</v>
      </c>
      <c r="K53" s="428">
        <v>0</v>
      </c>
      <c r="L53" s="428">
        <v>0</v>
      </c>
      <c r="M53" s="428">
        <v>0</v>
      </c>
      <c r="N53" s="428">
        <v>0</v>
      </c>
      <c r="O53" s="428">
        <v>0</v>
      </c>
      <c r="P53" s="428">
        <v>0</v>
      </c>
      <c r="Q53" s="428">
        <v>0</v>
      </c>
      <c r="R53" s="428">
        <v>0</v>
      </c>
      <c r="S53" s="428">
        <v>0</v>
      </c>
      <c r="T53" s="428">
        <v>0</v>
      </c>
      <c r="U53" s="428">
        <v>0</v>
      </c>
      <c r="V53" s="428">
        <v>0</v>
      </c>
      <c r="W53" s="428">
        <v>0</v>
      </c>
      <c r="X53" s="428">
        <v>0</v>
      </c>
      <c r="Y53" s="438">
        <v>0</v>
      </c>
    </row>
    <row r="54" spans="1:25" ht="13.8" thickBot="1" x14ac:dyDescent="0.3">
      <c r="A54" s="435" t="s">
        <v>117</v>
      </c>
      <c r="B54" s="429">
        <f t="shared" ref="B54:X54" si="7">(C53+B53)*(C52-B52)/2</f>
        <v>0.155</v>
      </c>
      <c r="C54" s="430">
        <f t="shared" si="7"/>
        <v>5.415</v>
      </c>
      <c r="D54" s="430">
        <f t="shared" si="7"/>
        <v>4.8</v>
      </c>
      <c r="E54" s="430">
        <f t="shared" si="7"/>
        <v>4.0999999999999996</v>
      </c>
      <c r="F54" s="430">
        <f t="shared" si="7"/>
        <v>3.5700000000000007</v>
      </c>
      <c r="G54" s="430">
        <f t="shared" si="7"/>
        <v>8.3500000000000074E-2</v>
      </c>
      <c r="H54" s="430">
        <f t="shared" si="7"/>
        <v>0</v>
      </c>
      <c r="I54" s="430">
        <f t="shared" si="7"/>
        <v>0</v>
      </c>
      <c r="J54" s="430">
        <f t="shared" si="7"/>
        <v>0</v>
      </c>
      <c r="K54" s="430">
        <f t="shared" si="7"/>
        <v>0</v>
      </c>
      <c r="L54" s="430">
        <f t="shared" si="7"/>
        <v>0</v>
      </c>
      <c r="M54" s="430">
        <f t="shared" si="7"/>
        <v>0</v>
      </c>
      <c r="N54" s="430">
        <f t="shared" si="7"/>
        <v>0</v>
      </c>
      <c r="O54" s="430">
        <f t="shared" si="7"/>
        <v>0</v>
      </c>
      <c r="P54" s="430">
        <f t="shared" si="7"/>
        <v>0</v>
      </c>
      <c r="Q54" s="430">
        <f t="shared" si="7"/>
        <v>0</v>
      </c>
      <c r="R54" s="430">
        <f t="shared" si="7"/>
        <v>0</v>
      </c>
      <c r="S54" s="430">
        <f t="shared" si="7"/>
        <v>0</v>
      </c>
      <c r="T54" s="430">
        <f t="shared" si="7"/>
        <v>0</v>
      </c>
      <c r="U54" s="430">
        <f t="shared" si="7"/>
        <v>0</v>
      </c>
      <c r="V54" s="430">
        <f t="shared" si="7"/>
        <v>0</v>
      </c>
      <c r="W54" s="430">
        <f t="shared" si="7"/>
        <v>0</v>
      </c>
      <c r="X54" s="430">
        <f t="shared" si="7"/>
        <v>0</v>
      </c>
      <c r="Y54" s="424"/>
    </row>
    <row r="55" spans="1:25" ht="13.8" thickBot="1" x14ac:dyDescent="0.3">
      <c r="B55" s="17"/>
      <c r="C55" s="17"/>
      <c r="D55" s="17"/>
      <c r="E55" s="17"/>
      <c r="F55" s="17"/>
      <c r="G55" s="17"/>
      <c r="H55" s="17"/>
      <c r="I55" s="17"/>
      <c r="J55" s="17"/>
      <c r="K55" s="17"/>
      <c r="L55" s="17"/>
      <c r="M55" s="17"/>
      <c r="N55" s="17"/>
      <c r="O55" s="17"/>
      <c r="P55" s="17"/>
      <c r="Q55" s="17"/>
      <c r="R55" s="17"/>
      <c r="S55" s="17"/>
      <c r="T55" s="17"/>
      <c r="U55" s="17"/>
      <c r="V55" s="17"/>
      <c r="W55" s="17"/>
      <c r="X55" s="17"/>
      <c r="Y55" s="17"/>
    </row>
    <row r="56" spans="1:25" ht="13.8" thickBot="1" x14ac:dyDescent="0.3">
      <c r="A56" s="416" t="s">
        <v>280</v>
      </c>
      <c r="B56" s="414">
        <f>ROW(A56)</f>
        <v>56</v>
      </c>
      <c r="C56" s="418" t="s">
        <v>116</v>
      </c>
      <c r="D56" s="408">
        <f>SUM(B59:Y59)</f>
        <v>22.610000000000003</v>
      </c>
      <c r="E56" s="418" t="s">
        <v>115</v>
      </c>
      <c r="F56" s="460">
        <f>D56/g/J56</f>
        <v>2.88098878695209</v>
      </c>
      <c r="G56" s="418" t="s">
        <v>57</v>
      </c>
      <c r="H56" s="86">
        <v>0.9</v>
      </c>
      <c r="I56" s="418" t="s">
        <v>272</v>
      </c>
      <c r="J56" s="410">
        <f>H56-L56</f>
        <v>0.8</v>
      </c>
      <c r="K56" s="418" t="s">
        <v>273</v>
      </c>
      <c r="L56" s="86">
        <v>0.1</v>
      </c>
      <c r="M56" s="418" t="s">
        <v>58</v>
      </c>
      <c r="N56" s="87">
        <f>0.4*R56</f>
        <v>120</v>
      </c>
      <c r="O56" s="418" t="s">
        <v>60</v>
      </c>
      <c r="P56" s="87">
        <v>150</v>
      </c>
      <c r="Q56" s="418" t="s">
        <v>61</v>
      </c>
      <c r="R56" s="87">
        <v>300</v>
      </c>
      <c r="S56" s="418" t="s">
        <v>62</v>
      </c>
      <c r="T56" s="87">
        <v>98</v>
      </c>
      <c r="U56" s="418" t="s">
        <v>55</v>
      </c>
      <c r="V56" s="88" t="s">
        <v>277</v>
      </c>
      <c r="W56" s="17"/>
      <c r="X56" s="17"/>
      <c r="Y56" s="17"/>
    </row>
    <row r="57" spans="1:25" x14ac:dyDescent="0.25">
      <c r="A57" s="417" t="s">
        <v>33</v>
      </c>
      <c r="B57" s="425">
        <v>0</v>
      </c>
      <c r="C57" s="426">
        <v>1E-3</v>
      </c>
      <c r="D57" s="426">
        <v>0.02</v>
      </c>
      <c r="E57" s="426">
        <v>0.04</v>
      </c>
      <c r="F57" s="426">
        <v>0.06</v>
      </c>
      <c r="G57" s="426">
        <v>0.08</v>
      </c>
      <c r="H57" s="426">
        <v>0.1</v>
      </c>
      <c r="I57" s="426">
        <v>0.11700000000000001</v>
      </c>
      <c r="J57" s="426">
        <v>0.11799999999999999</v>
      </c>
      <c r="K57" s="426">
        <v>0.11799999999999999</v>
      </c>
      <c r="L57" s="426">
        <v>0.11799999999999999</v>
      </c>
      <c r="M57" s="426">
        <v>0.11799999999999999</v>
      </c>
      <c r="N57" s="426">
        <v>0.11799999999999999</v>
      </c>
      <c r="O57" s="426">
        <v>0.11799999999999999</v>
      </c>
      <c r="P57" s="426">
        <v>0.11799999999999999</v>
      </c>
      <c r="Q57" s="426">
        <v>0.11799999999999999</v>
      </c>
      <c r="R57" s="426">
        <v>0.11799999999999999</v>
      </c>
      <c r="S57" s="426">
        <v>0.11799999999999999</v>
      </c>
      <c r="T57" s="426">
        <v>0.11799999999999999</v>
      </c>
      <c r="U57" s="426">
        <v>0.11799999999999999</v>
      </c>
      <c r="V57" s="426">
        <v>0.11799999999999999</v>
      </c>
      <c r="W57" s="426">
        <v>0.11799999999999999</v>
      </c>
      <c r="X57" s="426">
        <v>0.11799999999999999</v>
      </c>
      <c r="Y57" s="437">
        <v>1000</v>
      </c>
    </row>
    <row r="58" spans="1:25" x14ac:dyDescent="0.25">
      <c r="A58" s="434" t="s">
        <v>34</v>
      </c>
      <c r="B58" s="427">
        <v>0</v>
      </c>
      <c r="C58" s="428">
        <v>310</v>
      </c>
      <c r="D58" s="428">
        <v>250</v>
      </c>
      <c r="E58" s="428">
        <v>210</v>
      </c>
      <c r="F58" s="428">
        <v>180</v>
      </c>
      <c r="G58" s="428">
        <v>156</v>
      </c>
      <c r="H58" s="428">
        <v>140</v>
      </c>
      <c r="I58" s="428">
        <v>125</v>
      </c>
      <c r="J58" s="428">
        <v>0</v>
      </c>
      <c r="K58" s="428">
        <v>0</v>
      </c>
      <c r="L58" s="428">
        <v>0</v>
      </c>
      <c r="M58" s="428">
        <v>0</v>
      </c>
      <c r="N58" s="428">
        <v>0</v>
      </c>
      <c r="O58" s="428">
        <v>0</v>
      </c>
      <c r="P58" s="428">
        <v>0</v>
      </c>
      <c r="Q58" s="428">
        <v>0</v>
      </c>
      <c r="R58" s="428">
        <v>0</v>
      </c>
      <c r="S58" s="428">
        <v>0</v>
      </c>
      <c r="T58" s="428">
        <v>0</v>
      </c>
      <c r="U58" s="428">
        <v>0</v>
      </c>
      <c r="V58" s="428">
        <v>0</v>
      </c>
      <c r="W58" s="428">
        <v>0</v>
      </c>
      <c r="X58" s="428">
        <v>0</v>
      </c>
      <c r="Y58" s="438">
        <v>0</v>
      </c>
    </row>
    <row r="59" spans="1:25" ht="13.8" thickBot="1" x14ac:dyDescent="0.3">
      <c r="A59" s="435" t="s">
        <v>117</v>
      </c>
      <c r="B59" s="429">
        <f t="shared" ref="B59:X59" si="8">(C58+B58)*(C57-B57)/2</f>
        <v>0.155</v>
      </c>
      <c r="C59" s="430">
        <f t="shared" si="8"/>
        <v>5.32</v>
      </c>
      <c r="D59" s="430">
        <f t="shared" si="8"/>
        <v>4.6000000000000005</v>
      </c>
      <c r="E59" s="430">
        <f t="shared" si="8"/>
        <v>3.8999999999999995</v>
      </c>
      <c r="F59" s="430">
        <f t="shared" si="8"/>
        <v>3.3600000000000008</v>
      </c>
      <c r="G59" s="430">
        <f t="shared" si="8"/>
        <v>2.9600000000000004</v>
      </c>
      <c r="H59" s="430">
        <f t="shared" si="8"/>
        <v>2.2524999999999999</v>
      </c>
      <c r="I59" s="430">
        <f t="shared" si="8"/>
        <v>6.2499999999999188E-2</v>
      </c>
      <c r="J59" s="430">
        <f t="shared" si="8"/>
        <v>0</v>
      </c>
      <c r="K59" s="430">
        <f t="shared" si="8"/>
        <v>0</v>
      </c>
      <c r="L59" s="430">
        <f t="shared" si="8"/>
        <v>0</v>
      </c>
      <c r="M59" s="430">
        <f t="shared" si="8"/>
        <v>0</v>
      </c>
      <c r="N59" s="430">
        <f t="shared" si="8"/>
        <v>0</v>
      </c>
      <c r="O59" s="430">
        <f t="shared" si="8"/>
        <v>0</v>
      </c>
      <c r="P59" s="430">
        <f t="shared" si="8"/>
        <v>0</v>
      </c>
      <c r="Q59" s="430">
        <f t="shared" si="8"/>
        <v>0</v>
      </c>
      <c r="R59" s="430">
        <f t="shared" si="8"/>
        <v>0</v>
      </c>
      <c r="S59" s="430">
        <f t="shared" si="8"/>
        <v>0</v>
      </c>
      <c r="T59" s="430">
        <f t="shared" si="8"/>
        <v>0</v>
      </c>
      <c r="U59" s="430">
        <f t="shared" si="8"/>
        <v>0</v>
      </c>
      <c r="V59" s="430">
        <f t="shared" si="8"/>
        <v>0</v>
      </c>
      <c r="W59" s="430">
        <f t="shared" si="8"/>
        <v>0</v>
      </c>
      <c r="X59" s="430">
        <f t="shared" si="8"/>
        <v>0</v>
      </c>
      <c r="Y59" s="424"/>
    </row>
    <row r="60" spans="1:25" ht="13.8" thickBot="1" x14ac:dyDescent="0.3">
      <c r="A60" s="17"/>
      <c r="L60" s="17"/>
      <c r="M60" s="17"/>
      <c r="N60" s="17"/>
      <c r="O60" s="17"/>
      <c r="P60" s="17"/>
      <c r="Q60" s="17"/>
      <c r="R60" s="17"/>
      <c r="S60" s="17"/>
      <c r="T60" s="17"/>
      <c r="U60" s="17"/>
      <c r="V60" s="17"/>
      <c r="W60" s="17"/>
      <c r="X60" s="17"/>
      <c r="Y60" s="17"/>
    </row>
    <row r="61" spans="1:25" ht="13.8" thickBot="1" x14ac:dyDescent="0.3">
      <c r="A61" s="416" t="s">
        <v>281</v>
      </c>
      <c r="B61" s="414">
        <f>ROW(A61)</f>
        <v>61</v>
      </c>
      <c r="C61" s="418" t="s">
        <v>116</v>
      </c>
      <c r="D61" s="408">
        <f>SUM(B64:Y64)</f>
        <v>25.874000000000006</v>
      </c>
      <c r="E61" s="418" t="s">
        <v>115</v>
      </c>
      <c r="F61" s="460">
        <f>D61/g/J61</f>
        <v>2.6375127420998985</v>
      </c>
      <c r="G61" s="418" t="s">
        <v>57</v>
      </c>
      <c r="H61" s="86">
        <v>1.1000000000000001</v>
      </c>
      <c r="I61" s="418" t="s">
        <v>272</v>
      </c>
      <c r="J61" s="410">
        <f>H61-L61</f>
        <v>1</v>
      </c>
      <c r="K61" s="418" t="s">
        <v>273</v>
      </c>
      <c r="L61" s="86">
        <v>0.1</v>
      </c>
      <c r="M61" s="418" t="s">
        <v>58</v>
      </c>
      <c r="N61" s="87">
        <f>0.5*R61</f>
        <v>150</v>
      </c>
      <c r="O61" s="418" t="s">
        <v>60</v>
      </c>
      <c r="P61" s="87">
        <v>150</v>
      </c>
      <c r="Q61" s="418" t="s">
        <v>61</v>
      </c>
      <c r="R61" s="87">
        <v>300</v>
      </c>
      <c r="S61" s="418" t="s">
        <v>62</v>
      </c>
      <c r="T61" s="87">
        <v>98</v>
      </c>
      <c r="U61" s="418" t="s">
        <v>55</v>
      </c>
      <c r="V61" s="88" t="s">
        <v>277</v>
      </c>
      <c r="W61" s="17"/>
      <c r="X61" s="17"/>
      <c r="Y61" s="17"/>
    </row>
    <row r="62" spans="1:25" x14ac:dyDescent="0.25">
      <c r="A62" s="417" t="s">
        <v>33</v>
      </c>
      <c r="B62" s="425">
        <v>0</v>
      </c>
      <c r="C62" s="426">
        <v>1E-3</v>
      </c>
      <c r="D62" s="426">
        <v>0.02</v>
      </c>
      <c r="E62" s="426">
        <v>0.04</v>
      </c>
      <c r="F62" s="426">
        <v>0.06</v>
      </c>
      <c r="G62" s="426">
        <v>0.08</v>
      </c>
      <c r="H62" s="426">
        <v>0.1</v>
      </c>
      <c r="I62" s="426">
        <v>0.12</v>
      </c>
      <c r="J62" s="426">
        <v>0.14000000000000001</v>
      </c>
      <c r="K62" s="426">
        <v>0.16400000000000001</v>
      </c>
      <c r="L62" s="426">
        <v>0.16500000000000001</v>
      </c>
      <c r="M62" s="426">
        <v>0.16500000000000001</v>
      </c>
      <c r="N62" s="426">
        <v>0.16500000000000001</v>
      </c>
      <c r="O62" s="426">
        <v>0.16500000000000001</v>
      </c>
      <c r="P62" s="426">
        <v>0.16500000000000001</v>
      </c>
      <c r="Q62" s="426">
        <v>0.16500000000000001</v>
      </c>
      <c r="R62" s="426">
        <v>0.16500000000000001</v>
      </c>
      <c r="S62" s="426">
        <v>0.16500000000000001</v>
      </c>
      <c r="T62" s="426">
        <v>0.16500000000000001</v>
      </c>
      <c r="U62" s="426">
        <v>0.16500000000000001</v>
      </c>
      <c r="V62" s="426">
        <v>0.16500000000000001</v>
      </c>
      <c r="W62" s="426">
        <v>0.16500000000000001</v>
      </c>
      <c r="X62" s="426">
        <v>0.16500000000000001</v>
      </c>
      <c r="Y62" s="437">
        <v>1000</v>
      </c>
    </row>
    <row r="63" spans="1:25" x14ac:dyDescent="0.25">
      <c r="A63" s="434" t="s">
        <v>34</v>
      </c>
      <c r="B63" s="427">
        <v>0</v>
      </c>
      <c r="C63" s="428">
        <v>310</v>
      </c>
      <c r="D63" s="428">
        <v>245</v>
      </c>
      <c r="E63" s="428">
        <v>200</v>
      </c>
      <c r="F63" s="428">
        <v>165</v>
      </c>
      <c r="G63" s="428">
        <v>143</v>
      </c>
      <c r="H63" s="428">
        <v>124</v>
      </c>
      <c r="I63" s="428">
        <v>108</v>
      </c>
      <c r="J63" s="428">
        <v>97</v>
      </c>
      <c r="K63" s="428">
        <v>85</v>
      </c>
      <c r="L63" s="428">
        <v>0</v>
      </c>
      <c r="M63" s="428">
        <v>0</v>
      </c>
      <c r="N63" s="428">
        <v>0</v>
      </c>
      <c r="O63" s="428">
        <v>0</v>
      </c>
      <c r="P63" s="428">
        <v>0</v>
      </c>
      <c r="Q63" s="428">
        <v>0</v>
      </c>
      <c r="R63" s="428">
        <v>0</v>
      </c>
      <c r="S63" s="428">
        <v>0</v>
      </c>
      <c r="T63" s="428">
        <v>0</v>
      </c>
      <c r="U63" s="428">
        <v>0</v>
      </c>
      <c r="V63" s="428">
        <v>0</v>
      </c>
      <c r="W63" s="428">
        <v>0</v>
      </c>
      <c r="X63" s="428">
        <v>0</v>
      </c>
      <c r="Y63" s="438">
        <v>0</v>
      </c>
    </row>
    <row r="64" spans="1:25" ht="13.8" thickBot="1" x14ac:dyDescent="0.3">
      <c r="A64" s="435" t="s">
        <v>117</v>
      </c>
      <c r="B64" s="429">
        <f t="shared" ref="B64:X64" si="9">(C63+B63)*(C62-B62)/2</f>
        <v>0.155</v>
      </c>
      <c r="C64" s="430">
        <f t="shared" si="9"/>
        <v>5.2725</v>
      </c>
      <c r="D64" s="430">
        <f t="shared" si="9"/>
        <v>4.45</v>
      </c>
      <c r="E64" s="430">
        <f t="shared" si="9"/>
        <v>3.6499999999999995</v>
      </c>
      <c r="F64" s="430">
        <f t="shared" si="9"/>
        <v>3.0800000000000005</v>
      </c>
      <c r="G64" s="430">
        <f t="shared" si="9"/>
        <v>2.6700000000000004</v>
      </c>
      <c r="H64" s="430">
        <f t="shared" si="9"/>
        <v>2.319999999999999</v>
      </c>
      <c r="I64" s="430">
        <f t="shared" si="9"/>
        <v>2.0500000000000016</v>
      </c>
      <c r="J64" s="430">
        <f t="shared" si="9"/>
        <v>2.1839999999999993</v>
      </c>
      <c r="K64" s="430">
        <f t="shared" si="9"/>
        <v>4.2500000000000038E-2</v>
      </c>
      <c r="L64" s="430">
        <f t="shared" si="9"/>
        <v>0</v>
      </c>
      <c r="M64" s="430">
        <f t="shared" si="9"/>
        <v>0</v>
      </c>
      <c r="N64" s="430">
        <f t="shared" si="9"/>
        <v>0</v>
      </c>
      <c r="O64" s="430">
        <f t="shared" si="9"/>
        <v>0</v>
      </c>
      <c r="P64" s="430">
        <f t="shared" si="9"/>
        <v>0</v>
      </c>
      <c r="Q64" s="430">
        <f t="shared" si="9"/>
        <v>0</v>
      </c>
      <c r="R64" s="430">
        <f t="shared" si="9"/>
        <v>0</v>
      </c>
      <c r="S64" s="430">
        <f t="shared" si="9"/>
        <v>0</v>
      </c>
      <c r="T64" s="430">
        <f t="shared" si="9"/>
        <v>0</v>
      </c>
      <c r="U64" s="430">
        <f t="shared" si="9"/>
        <v>0</v>
      </c>
      <c r="V64" s="430">
        <f t="shared" si="9"/>
        <v>0</v>
      </c>
      <c r="W64" s="430">
        <f t="shared" si="9"/>
        <v>0</v>
      </c>
      <c r="X64" s="430">
        <f t="shared" si="9"/>
        <v>0</v>
      </c>
      <c r="Y64" s="424"/>
    </row>
    <row r="66" spans="1:26" ht="13.8" thickBot="1" x14ac:dyDescent="0.3">
      <c r="A66" s="492" t="s">
        <v>182</v>
      </c>
    </row>
    <row r="67" spans="1:26" ht="13.8" thickBot="1" x14ac:dyDescent="0.3">
      <c r="A67" s="416" t="s">
        <v>112</v>
      </c>
      <c r="B67" s="414">
        <f>ROW(A67)</f>
        <v>67</v>
      </c>
      <c r="C67" s="418" t="s">
        <v>116</v>
      </c>
      <c r="D67" s="408">
        <f>SUM(B70:Y70)</f>
        <v>2.65</v>
      </c>
      <c r="E67" s="418" t="s">
        <v>115</v>
      </c>
      <c r="F67" s="409">
        <f>D67/g/J67</f>
        <v>54.026503567787969</v>
      </c>
      <c r="G67" s="418" t="s">
        <v>57</v>
      </c>
      <c r="H67" s="86">
        <v>1.4999999999999999E-2</v>
      </c>
      <c r="I67" s="418" t="s">
        <v>272</v>
      </c>
      <c r="J67" s="410">
        <f>H67-L67</f>
        <v>4.9999999999999992E-3</v>
      </c>
      <c r="K67" s="418" t="s">
        <v>273</v>
      </c>
      <c r="L67" s="86">
        <v>0.01</v>
      </c>
      <c r="M67" s="418" t="s">
        <v>58</v>
      </c>
      <c r="N67" s="87">
        <v>30</v>
      </c>
      <c r="O67" s="418" t="s">
        <v>60</v>
      </c>
      <c r="P67" s="87">
        <v>30</v>
      </c>
      <c r="Q67" s="418" t="s">
        <v>61</v>
      </c>
      <c r="R67" s="87">
        <v>70</v>
      </c>
      <c r="S67" s="418" t="s">
        <v>62</v>
      </c>
      <c r="T67" s="87">
        <v>15</v>
      </c>
      <c r="U67" s="418" t="s">
        <v>55</v>
      </c>
      <c r="V67" s="88" t="s">
        <v>118</v>
      </c>
      <c r="W67" s="547" t="s">
        <v>396</v>
      </c>
      <c r="X67" s="549">
        <v>0.32</v>
      </c>
      <c r="Y67" s="547" t="s">
        <v>395</v>
      </c>
      <c r="Z67" s="413">
        <v>3</v>
      </c>
    </row>
    <row r="68" spans="1:26" x14ac:dyDescent="0.25">
      <c r="A68" s="417" t="s">
        <v>33</v>
      </c>
      <c r="B68" s="425">
        <v>0</v>
      </c>
      <c r="C68" s="426">
        <v>0.2</v>
      </c>
      <c r="D68" s="426">
        <v>0.3</v>
      </c>
      <c r="E68" s="426">
        <v>0.4</v>
      </c>
      <c r="F68" s="426">
        <v>0.5</v>
      </c>
      <c r="G68" s="426">
        <v>0.55000000000000004</v>
      </c>
      <c r="H68" s="426">
        <v>0.6</v>
      </c>
      <c r="I68" s="426">
        <v>0.6</v>
      </c>
      <c r="J68" s="426">
        <v>0.6</v>
      </c>
      <c r="K68" s="426">
        <v>0.6</v>
      </c>
      <c r="L68" s="426">
        <v>0.6</v>
      </c>
      <c r="M68" s="426">
        <v>0.6</v>
      </c>
      <c r="N68" s="426">
        <v>0.6</v>
      </c>
      <c r="O68" s="426">
        <v>0.6</v>
      </c>
      <c r="P68" s="426">
        <v>0.6</v>
      </c>
      <c r="Q68" s="426">
        <v>0.6</v>
      </c>
      <c r="R68" s="426">
        <v>0.6</v>
      </c>
      <c r="S68" s="426">
        <v>0.6</v>
      </c>
      <c r="T68" s="426">
        <v>0.6</v>
      </c>
      <c r="U68" s="426">
        <v>0.6</v>
      </c>
      <c r="V68" s="426">
        <v>0.6</v>
      </c>
      <c r="W68" s="426">
        <v>0.6</v>
      </c>
      <c r="X68" s="426">
        <v>0.6</v>
      </c>
      <c r="Y68" s="437">
        <v>1000</v>
      </c>
    </row>
    <row r="69" spans="1:26" x14ac:dyDescent="0.25">
      <c r="A69" s="434" t="s">
        <v>34</v>
      </c>
      <c r="B69" s="427">
        <v>0</v>
      </c>
      <c r="C69" s="428">
        <v>9</v>
      </c>
      <c r="D69" s="428">
        <v>4.5</v>
      </c>
      <c r="E69" s="428">
        <v>4</v>
      </c>
      <c r="F69" s="428">
        <v>4</v>
      </c>
      <c r="G69" s="428">
        <v>3</v>
      </c>
      <c r="H69" s="428">
        <v>0</v>
      </c>
      <c r="I69" s="428">
        <v>0</v>
      </c>
      <c r="J69" s="428">
        <v>0</v>
      </c>
      <c r="K69" s="428">
        <v>0</v>
      </c>
      <c r="L69" s="428">
        <v>0</v>
      </c>
      <c r="M69" s="428">
        <v>0</v>
      </c>
      <c r="N69" s="428">
        <v>0</v>
      </c>
      <c r="O69" s="428">
        <v>0</v>
      </c>
      <c r="P69" s="428">
        <v>0</v>
      </c>
      <c r="Q69" s="428">
        <v>0</v>
      </c>
      <c r="R69" s="428">
        <v>0</v>
      </c>
      <c r="S69" s="428">
        <v>0</v>
      </c>
      <c r="T69" s="428">
        <v>0</v>
      </c>
      <c r="U69" s="428">
        <v>0</v>
      </c>
      <c r="V69" s="428">
        <v>0</v>
      </c>
      <c r="W69" s="428">
        <v>0</v>
      </c>
      <c r="X69" s="428">
        <v>0</v>
      </c>
      <c r="Y69" s="438">
        <v>0</v>
      </c>
    </row>
    <row r="70" spans="1:26" ht="13.8" thickBot="1" x14ac:dyDescent="0.3">
      <c r="A70" s="435" t="s">
        <v>117</v>
      </c>
      <c r="B70" s="429">
        <f t="shared" ref="B70:X70" si="10">(C69+B69)*(C68-B68)/2</f>
        <v>0.9</v>
      </c>
      <c r="C70" s="430">
        <f t="shared" si="10"/>
        <v>0.67499999999999982</v>
      </c>
      <c r="D70" s="430">
        <f t="shared" si="10"/>
        <v>0.42500000000000016</v>
      </c>
      <c r="E70" s="430">
        <f t="shared" si="10"/>
        <v>0.39999999999999991</v>
      </c>
      <c r="F70" s="430">
        <f t="shared" si="10"/>
        <v>0.17500000000000016</v>
      </c>
      <c r="G70" s="430">
        <f t="shared" si="10"/>
        <v>7.49999999999999E-2</v>
      </c>
      <c r="H70" s="430">
        <f t="shared" si="10"/>
        <v>0</v>
      </c>
      <c r="I70" s="430">
        <f t="shared" si="10"/>
        <v>0</v>
      </c>
      <c r="J70" s="430">
        <f t="shared" si="10"/>
        <v>0</v>
      </c>
      <c r="K70" s="430">
        <f t="shared" si="10"/>
        <v>0</v>
      </c>
      <c r="L70" s="430">
        <f t="shared" si="10"/>
        <v>0</v>
      </c>
      <c r="M70" s="430">
        <f t="shared" si="10"/>
        <v>0</v>
      </c>
      <c r="N70" s="430">
        <f t="shared" si="10"/>
        <v>0</v>
      </c>
      <c r="O70" s="430">
        <f t="shared" si="10"/>
        <v>0</v>
      </c>
      <c r="P70" s="430">
        <f t="shared" si="10"/>
        <v>0</v>
      </c>
      <c r="Q70" s="430">
        <f t="shared" si="10"/>
        <v>0</v>
      </c>
      <c r="R70" s="430">
        <f t="shared" si="10"/>
        <v>0</v>
      </c>
      <c r="S70" s="430">
        <f t="shared" si="10"/>
        <v>0</v>
      </c>
      <c r="T70" s="430">
        <f t="shared" si="10"/>
        <v>0</v>
      </c>
      <c r="U70" s="430">
        <f t="shared" si="10"/>
        <v>0</v>
      </c>
      <c r="V70" s="430">
        <f t="shared" si="10"/>
        <v>0</v>
      </c>
      <c r="W70" s="430">
        <f t="shared" si="10"/>
        <v>0</v>
      </c>
      <c r="X70" s="430">
        <f t="shared" si="10"/>
        <v>0</v>
      </c>
      <c r="Y70" s="424"/>
    </row>
    <row r="71" spans="1:26" ht="13.8" thickBot="1" x14ac:dyDescent="0.3">
      <c r="A71" s="17"/>
      <c r="L71" s="17"/>
      <c r="M71" s="17"/>
      <c r="N71" s="17"/>
      <c r="O71" s="17"/>
      <c r="P71" s="17"/>
      <c r="Q71" s="17"/>
      <c r="R71" s="17"/>
      <c r="S71" s="17"/>
      <c r="T71" s="17"/>
      <c r="U71" s="17"/>
      <c r="V71" s="17"/>
      <c r="W71" s="17"/>
      <c r="X71" s="17"/>
      <c r="Y71" s="17"/>
    </row>
    <row r="72" spans="1:26" ht="13.8" thickBot="1" x14ac:dyDescent="0.3">
      <c r="A72" s="416" t="s">
        <v>113</v>
      </c>
      <c r="B72" s="414">
        <f>ROW(A72)</f>
        <v>72</v>
      </c>
      <c r="C72" s="418" t="s">
        <v>116</v>
      </c>
      <c r="D72" s="408">
        <f>SUM(B75:Y75)</f>
        <v>5.25</v>
      </c>
      <c r="E72" s="418" t="s">
        <v>115</v>
      </c>
      <c r="F72" s="409">
        <f>D72/g/J72</f>
        <v>89.1946992864424</v>
      </c>
      <c r="G72" s="418" t="s">
        <v>57</v>
      </c>
      <c r="H72" s="86">
        <v>0.02</v>
      </c>
      <c r="I72" s="418" t="s">
        <v>272</v>
      </c>
      <c r="J72" s="410">
        <f>H72-L72</f>
        <v>6.0000000000000001E-3</v>
      </c>
      <c r="K72" s="418" t="s">
        <v>273</v>
      </c>
      <c r="L72" s="86">
        <v>1.4E-2</v>
      </c>
      <c r="M72" s="418" t="s">
        <v>58</v>
      </c>
      <c r="N72" s="87">
        <v>30</v>
      </c>
      <c r="O72" s="418" t="s">
        <v>60</v>
      </c>
      <c r="P72" s="87">
        <v>30</v>
      </c>
      <c r="Q72" s="418" t="s">
        <v>61</v>
      </c>
      <c r="R72" s="87">
        <v>70</v>
      </c>
      <c r="S72" s="418" t="s">
        <v>62</v>
      </c>
      <c r="T72" s="87">
        <v>15</v>
      </c>
      <c r="U72" s="418" t="s">
        <v>55</v>
      </c>
      <c r="V72" s="88" t="s">
        <v>118</v>
      </c>
      <c r="W72" s="547" t="s">
        <v>396</v>
      </c>
      <c r="X72" s="549">
        <v>1.2</v>
      </c>
      <c r="Y72" s="547" t="s">
        <v>395</v>
      </c>
      <c r="Z72" s="413">
        <v>4</v>
      </c>
    </row>
    <row r="73" spans="1:26" x14ac:dyDescent="0.25">
      <c r="A73" s="417" t="s">
        <v>33</v>
      </c>
      <c r="B73" s="425">
        <v>0</v>
      </c>
      <c r="C73" s="426">
        <v>0.2</v>
      </c>
      <c r="D73" s="426">
        <v>0.3</v>
      </c>
      <c r="E73" s="426">
        <v>0.55000000000000004</v>
      </c>
      <c r="F73" s="426">
        <v>1.05</v>
      </c>
      <c r="G73" s="426">
        <v>1.1499999999999999</v>
      </c>
      <c r="H73" s="426">
        <v>1.1499999999999999</v>
      </c>
      <c r="I73" s="426">
        <v>1.1499999999999999</v>
      </c>
      <c r="J73" s="426">
        <v>1.1499999999999999</v>
      </c>
      <c r="K73" s="426">
        <v>1.1499999999999999</v>
      </c>
      <c r="L73" s="426">
        <v>1.1499999999999999</v>
      </c>
      <c r="M73" s="426">
        <v>1.1499999999999999</v>
      </c>
      <c r="N73" s="426">
        <v>1.1499999999999999</v>
      </c>
      <c r="O73" s="426">
        <v>1.1499999999999999</v>
      </c>
      <c r="P73" s="426">
        <v>1.1499999999999999</v>
      </c>
      <c r="Q73" s="426">
        <v>1.1499999999999999</v>
      </c>
      <c r="R73" s="426">
        <v>1.1499999999999999</v>
      </c>
      <c r="S73" s="426">
        <v>1.1499999999999999</v>
      </c>
      <c r="T73" s="426">
        <v>1.1499999999999999</v>
      </c>
      <c r="U73" s="426">
        <v>1.1499999999999999</v>
      </c>
      <c r="V73" s="426">
        <v>1.1499999999999999</v>
      </c>
      <c r="W73" s="426">
        <v>1.1499999999999999</v>
      </c>
      <c r="X73" s="426">
        <v>1.1499999999999999</v>
      </c>
      <c r="Y73" s="437">
        <v>1000</v>
      </c>
    </row>
    <row r="74" spans="1:26" x14ac:dyDescent="0.25">
      <c r="A74" s="434" t="s">
        <v>34</v>
      </c>
      <c r="B74" s="427">
        <v>0</v>
      </c>
      <c r="C74" s="428">
        <v>10</v>
      </c>
      <c r="D74" s="428">
        <v>6</v>
      </c>
      <c r="E74" s="428">
        <v>4</v>
      </c>
      <c r="F74" s="428">
        <v>4</v>
      </c>
      <c r="G74" s="428">
        <v>0</v>
      </c>
      <c r="H74" s="428">
        <v>0</v>
      </c>
      <c r="I74" s="428">
        <v>0</v>
      </c>
      <c r="J74" s="428">
        <v>0</v>
      </c>
      <c r="K74" s="428">
        <v>0</v>
      </c>
      <c r="L74" s="428">
        <v>0</v>
      </c>
      <c r="M74" s="428">
        <v>0</v>
      </c>
      <c r="N74" s="428">
        <v>0</v>
      </c>
      <c r="O74" s="428">
        <v>0</v>
      </c>
      <c r="P74" s="428">
        <v>0</v>
      </c>
      <c r="Q74" s="428">
        <v>0</v>
      </c>
      <c r="R74" s="428">
        <v>0</v>
      </c>
      <c r="S74" s="428">
        <v>0</v>
      </c>
      <c r="T74" s="428">
        <v>0</v>
      </c>
      <c r="U74" s="428">
        <v>0</v>
      </c>
      <c r="V74" s="428">
        <v>0</v>
      </c>
      <c r="W74" s="428">
        <v>0</v>
      </c>
      <c r="X74" s="428">
        <v>0</v>
      </c>
      <c r="Y74" s="438">
        <v>0</v>
      </c>
    </row>
    <row r="75" spans="1:26" ht="13.8" thickBot="1" x14ac:dyDescent="0.3">
      <c r="A75" s="435" t="s">
        <v>117</v>
      </c>
      <c r="B75" s="429">
        <f t="shared" ref="B75:V75" si="11">(C74+B74)*(C73-B73)/2</f>
        <v>1</v>
      </c>
      <c r="C75" s="430">
        <f t="shared" si="11"/>
        <v>0.79999999999999982</v>
      </c>
      <c r="D75" s="430">
        <f t="shared" si="11"/>
        <v>1.2500000000000002</v>
      </c>
      <c r="E75" s="430">
        <f t="shared" si="11"/>
        <v>2</v>
      </c>
      <c r="F75" s="430">
        <f t="shared" si="11"/>
        <v>0.19999999999999973</v>
      </c>
      <c r="G75" s="430">
        <f t="shared" si="11"/>
        <v>0</v>
      </c>
      <c r="H75" s="430">
        <f t="shared" si="11"/>
        <v>0</v>
      </c>
      <c r="I75" s="430">
        <f t="shared" si="11"/>
        <v>0</v>
      </c>
      <c r="J75" s="430">
        <f>(K74+J74)*(K73-J73)/2</f>
        <v>0</v>
      </c>
      <c r="K75" s="430">
        <f t="shared" si="11"/>
        <v>0</v>
      </c>
      <c r="L75" s="430">
        <f t="shared" si="11"/>
        <v>0</v>
      </c>
      <c r="M75" s="430">
        <f t="shared" si="11"/>
        <v>0</v>
      </c>
      <c r="N75" s="430">
        <f t="shared" si="11"/>
        <v>0</v>
      </c>
      <c r="O75" s="430">
        <f t="shared" si="11"/>
        <v>0</v>
      </c>
      <c r="P75" s="430">
        <f t="shared" si="11"/>
        <v>0</v>
      </c>
      <c r="Q75" s="430">
        <f t="shared" si="11"/>
        <v>0</v>
      </c>
      <c r="R75" s="430">
        <f t="shared" si="11"/>
        <v>0</v>
      </c>
      <c r="S75" s="430">
        <f>(T74+S74)*(T73-S73)/2</f>
        <v>0</v>
      </c>
      <c r="T75" s="430">
        <f t="shared" si="11"/>
        <v>0</v>
      </c>
      <c r="U75" s="430">
        <f t="shared" si="11"/>
        <v>0</v>
      </c>
      <c r="V75" s="430">
        <f t="shared" si="11"/>
        <v>0</v>
      </c>
      <c r="W75" s="430">
        <f>(X74+W74)*(X73-W73)/2</f>
        <v>0</v>
      </c>
      <c r="X75" s="430">
        <f>(Y74+X74)*(Y73-X73)/2</f>
        <v>0</v>
      </c>
      <c r="Y75" s="424"/>
    </row>
    <row r="76" spans="1:26" ht="13.8" thickBot="1" x14ac:dyDescent="0.3">
      <c r="B76" s="17"/>
      <c r="C76" s="17"/>
      <c r="D76" s="17"/>
      <c r="E76" s="17"/>
      <c r="F76" s="17"/>
      <c r="G76" s="17"/>
      <c r="H76" s="17"/>
      <c r="I76" s="17"/>
      <c r="J76" s="17"/>
      <c r="K76" s="17"/>
      <c r="L76" s="17"/>
      <c r="M76" s="17"/>
      <c r="N76" s="17"/>
      <c r="O76" s="17"/>
      <c r="P76" s="17"/>
      <c r="Q76" s="17"/>
      <c r="R76" s="17"/>
      <c r="S76" s="17"/>
      <c r="T76" s="17"/>
      <c r="U76" s="17"/>
      <c r="V76" s="17"/>
      <c r="W76" s="17"/>
      <c r="X76" s="17"/>
      <c r="Y76" s="17"/>
    </row>
    <row r="77" spans="1:26" ht="13.8" thickBot="1" x14ac:dyDescent="0.3">
      <c r="A77" s="416" t="s">
        <v>114</v>
      </c>
      <c r="B77" s="414">
        <f>ROW(A77)</f>
        <v>77</v>
      </c>
      <c r="C77" s="418" t="s">
        <v>116</v>
      </c>
      <c r="D77" s="408">
        <f>SUM(B80:Y80)</f>
        <v>10.26</v>
      </c>
      <c r="E77" s="418" t="s">
        <v>115</v>
      </c>
      <c r="F77" s="409">
        <f>D77/g/J77</f>
        <v>80.451658433309802</v>
      </c>
      <c r="G77" s="418" t="s">
        <v>57</v>
      </c>
      <c r="H77" s="86">
        <v>2.4E-2</v>
      </c>
      <c r="I77" s="418" t="s">
        <v>272</v>
      </c>
      <c r="J77" s="410">
        <f>H77-L77</f>
        <v>1.3000000000000001E-2</v>
      </c>
      <c r="K77" s="418" t="s">
        <v>273</v>
      </c>
      <c r="L77" s="86">
        <v>1.0999999999999999E-2</v>
      </c>
      <c r="M77" s="418" t="s">
        <v>58</v>
      </c>
      <c r="N77" s="87">
        <v>30</v>
      </c>
      <c r="O77" s="418" t="s">
        <v>60</v>
      </c>
      <c r="P77" s="87">
        <v>30</v>
      </c>
      <c r="Q77" s="418" t="s">
        <v>61</v>
      </c>
      <c r="R77" s="87">
        <v>70</v>
      </c>
      <c r="S77" s="418" t="s">
        <v>62</v>
      </c>
      <c r="T77" s="87">
        <v>15</v>
      </c>
      <c r="U77" s="418" t="s">
        <v>55</v>
      </c>
      <c r="V77" s="88" t="s">
        <v>118</v>
      </c>
      <c r="W77" s="547" t="s">
        <v>396</v>
      </c>
      <c r="X77" s="549">
        <v>1.7</v>
      </c>
      <c r="Y77" s="547" t="s">
        <v>395</v>
      </c>
      <c r="Z77" s="413">
        <v>3</v>
      </c>
    </row>
    <row r="78" spans="1:26" x14ac:dyDescent="0.25">
      <c r="A78" s="417" t="s">
        <v>33</v>
      </c>
      <c r="B78" s="425">
        <v>0</v>
      </c>
      <c r="C78" s="426">
        <v>0.2</v>
      </c>
      <c r="D78" s="426">
        <v>0.3</v>
      </c>
      <c r="E78" s="426">
        <v>0.6</v>
      </c>
      <c r="F78" s="426">
        <v>0.8</v>
      </c>
      <c r="G78" s="426">
        <v>2</v>
      </c>
      <c r="H78" s="426">
        <v>2.1</v>
      </c>
      <c r="I78" s="426">
        <v>2.1</v>
      </c>
      <c r="J78" s="426">
        <v>2.1</v>
      </c>
      <c r="K78" s="426">
        <v>2.1</v>
      </c>
      <c r="L78" s="426">
        <v>2.1</v>
      </c>
      <c r="M78" s="426">
        <v>2.1</v>
      </c>
      <c r="N78" s="426">
        <v>2.1</v>
      </c>
      <c r="O78" s="426">
        <v>2.1</v>
      </c>
      <c r="P78" s="426">
        <v>2.1</v>
      </c>
      <c r="Q78" s="426">
        <v>2.1</v>
      </c>
      <c r="R78" s="426">
        <v>2.1</v>
      </c>
      <c r="S78" s="426">
        <v>2.1</v>
      </c>
      <c r="T78" s="426">
        <v>2.1</v>
      </c>
      <c r="U78" s="426">
        <v>2.1</v>
      </c>
      <c r="V78" s="426">
        <v>2.1</v>
      </c>
      <c r="W78" s="426">
        <v>2.1</v>
      </c>
      <c r="X78" s="426">
        <v>2.1</v>
      </c>
      <c r="Y78" s="437">
        <v>1000</v>
      </c>
    </row>
    <row r="79" spans="1:26" x14ac:dyDescent="0.25">
      <c r="A79" s="434" t="s">
        <v>34</v>
      </c>
      <c r="B79" s="427">
        <v>0</v>
      </c>
      <c r="C79" s="428">
        <v>11</v>
      </c>
      <c r="D79" s="428">
        <v>7</v>
      </c>
      <c r="E79" s="428">
        <v>4</v>
      </c>
      <c r="F79" s="428">
        <v>4.5999999999999996</v>
      </c>
      <c r="G79" s="428">
        <v>4.5999999999999996</v>
      </c>
      <c r="H79" s="428">
        <v>0</v>
      </c>
      <c r="I79" s="428">
        <v>0</v>
      </c>
      <c r="J79" s="428">
        <v>0</v>
      </c>
      <c r="K79" s="428">
        <v>0</v>
      </c>
      <c r="L79" s="428">
        <v>0</v>
      </c>
      <c r="M79" s="428">
        <v>0</v>
      </c>
      <c r="N79" s="428">
        <v>0</v>
      </c>
      <c r="O79" s="428">
        <v>0</v>
      </c>
      <c r="P79" s="428">
        <v>0</v>
      </c>
      <c r="Q79" s="428">
        <v>0</v>
      </c>
      <c r="R79" s="428">
        <v>0</v>
      </c>
      <c r="S79" s="428">
        <v>0</v>
      </c>
      <c r="T79" s="428">
        <v>0</v>
      </c>
      <c r="U79" s="428">
        <v>0</v>
      </c>
      <c r="V79" s="428">
        <v>0</v>
      </c>
      <c r="W79" s="428">
        <v>0</v>
      </c>
      <c r="X79" s="428">
        <v>0</v>
      </c>
      <c r="Y79" s="438">
        <v>0</v>
      </c>
    </row>
    <row r="80" spans="1:26" ht="13.8" thickBot="1" x14ac:dyDescent="0.3">
      <c r="A80" s="435" t="s">
        <v>117</v>
      </c>
      <c r="B80" s="429">
        <f t="shared" ref="B80:G80" si="12">(C79+B79)*(C78-B78)/2</f>
        <v>1.1000000000000001</v>
      </c>
      <c r="C80" s="430">
        <f t="shared" si="12"/>
        <v>0.8999999999999998</v>
      </c>
      <c r="D80" s="430">
        <f t="shared" si="12"/>
        <v>1.65</v>
      </c>
      <c r="E80" s="430">
        <f t="shared" si="12"/>
        <v>0.86000000000000021</v>
      </c>
      <c r="F80" s="430">
        <f t="shared" si="12"/>
        <v>5.52</v>
      </c>
      <c r="G80" s="430">
        <f t="shared" si="12"/>
        <v>0.23000000000000018</v>
      </c>
      <c r="H80" s="430">
        <f t="shared" ref="H80:V80" si="13">(I79+H79)*(I78-H78)/2</f>
        <v>0</v>
      </c>
      <c r="I80" s="430">
        <f t="shared" si="13"/>
        <v>0</v>
      </c>
      <c r="J80" s="430">
        <f>(K79+J79)*(K78-J78)/2</f>
        <v>0</v>
      </c>
      <c r="K80" s="430">
        <f t="shared" si="13"/>
        <v>0</v>
      </c>
      <c r="L80" s="430">
        <f t="shared" si="13"/>
        <v>0</v>
      </c>
      <c r="M80" s="430">
        <f t="shared" si="13"/>
        <v>0</v>
      </c>
      <c r="N80" s="430">
        <f t="shared" si="13"/>
        <v>0</v>
      </c>
      <c r="O80" s="430">
        <f t="shared" si="13"/>
        <v>0</v>
      </c>
      <c r="P80" s="430">
        <f t="shared" si="13"/>
        <v>0</v>
      </c>
      <c r="Q80" s="430">
        <f t="shared" si="13"/>
        <v>0</v>
      </c>
      <c r="R80" s="430">
        <f t="shared" si="13"/>
        <v>0</v>
      </c>
      <c r="S80" s="430">
        <f>(T79+S79)*(T78-S78)/2</f>
        <v>0</v>
      </c>
      <c r="T80" s="430">
        <f t="shared" si="13"/>
        <v>0</v>
      </c>
      <c r="U80" s="430">
        <f t="shared" si="13"/>
        <v>0</v>
      </c>
      <c r="V80" s="430">
        <f t="shared" si="13"/>
        <v>0</v>
      </c>
      <c r="W80" s="430">
        <f>(X79+W79)*(X78-W78)/2</f>
        <v>0</v>
      </c>
      <c r="X80" s="430">
        <f>(Y79+X79)*(Y78-X78)/2</f>
        <v>0</v>
      </c>
      <c r="Y80" s="424"/>
    </row>
    <row r="81" spans="1:26" ht="13.8" thickBot="1" x14ac:dyDescent="0.3">
      <c r="A81" s="17"/>
      <c r="L81" s="17"/>
      <c r="M81" s="17"/>
      <c r="N81" s="17"/>
      <c r="O81" s="17"/>
      <c r="P81" s="17"/>
      <c r="Q81" s="17"/>
      <c r="R81" s="17"/>
      <c r="S81" s="17"/>
      <c r="T81" s="17"/>
      <c r="U81" s="17"/>
      <c r="V81" s="17"/>
      <c r="W81" s="17"/>
      <c r="X81" s="17"/>
      <c r="Y81" s="17"/>
    </row>
    <row r="82" spans="1:26" ht="13.8" thickBot="1" x14ac:dyDescent="0.3">
      <c r="A82" s="416" t="s">
        <v>331</v>
      </c>
      <c r="B82" s="414">
        <f>ROW(A82)</f>
        <v>82</v>
      </c>
      <c r="C82" s="418" t="s">
        <v>116</v>
      </c>
      <c r="D82" s="408">
        <f>SUM(B85:Y85)</f>
        <v>20.52</v>
      </c>
      <c r="E82" s="418" t="s">
        <v>115</v>
      </c>
      <c r="F82" s="409">
        <f>D82/g/J82</f>
        <v>80.451658433309802</v>
      </c>
      <c r="G82" s="418" t="s">
        <v>57</v>
      </c>
      <c r="H82" s="86">
        <f>H77*2</f>
        <v>4.8000000000000001E-2</v>
      </c>
      <c r="I82" s="418" t="s">
        <v>272</v>
      </c>
      <c r="J82" s="410">
        <f>H82-L82</f>
        <v>2.6000000000000002E-2</v>
      </c>
      <c r="K82" s="418" t="s">
        <v>273</v>
      </c>
      <c r="L82" s="86">
        <f>L77*2</f>
        <v>2.1999999999999999E-2</v>
      </c>
      <c r="M82" s="418" t="s">
        <v>58</v>
      </c>
      <c r="N82" s="87">
        <v>30</v>
      </c>
      <c r="O82" s="418" t="s">
        <v>60</v>
      </c>
      <c r="P82" s="87">
        <v>30</v>
      </c>
      <c r="Q82" s="418" t="s">
        <v>61</v>
      </c>
      <c r="R82" s="87">
        <v>70</v>
      </c>
      <c r="S82" s="418" t="s">
        <v>62</v>
      </c>
      <c r="T82" s="87">
        <v>30</v>
      </c>
      <c r="U82" s="418" t="s">
        <v>55</v>
      </c>
      <c r="V82" s="88" t="s">
        <v>118</v>
      </c>
      <c r="W82" s="547" t="s">
        <v>396</v>
      </c>
      <c r="X82" s="549">
        <v>1.7</v>
      </c>
      <c r="Y82" s="547" t="s">
        <v>395</v>
      </c>
      <c r="Z82" s="413">
        <v>3</v>
      </c>
    </row>
    <row r="83" spans="1:26" x14ac:dyDescent="0.25">
      <c r="A83" s="417" t="s">
        <v>33</v>
      </c>
      <c r="B83" s="425">
        <v>0</v>
      </c>
      <c r="C83" s="426">
        <v>0.2</v>
      </c>
      <c r="D83" s="426">
        <v>0.3</v>
      </c>
      <c r="E83" s="426">
        <v>0.6</v>
      </c>
      <c r="F83" s="426">
        <v>0.8</v>
      </c>
      <c r="G83" s="426">
        <v>2</v>
      </c>
      <c r="H83" s="426">
        <v>2.1</v>
      </c>
      <c r="I83" s="426">
        <v>2.1</v>
      </c>
      <c r="J83" s="426">
        <v>2.1</v>
      </c>
      <c r="K83" s="426">
        <v>2.1</v>
      </c>
      <c r="L83" s="426">
        <v>2.1</v>
      </c>
      <c r="M83" s="426">
        <v>2.1</v>
      </c>
      <c r="N83" s="426">
        <v>2.1</v>
      </c>
      <c r="O83" s="426">
        <v>2.1</v>
      </c>
      <c r="P83" s="426">
        <v>2.1</v>
      </c>
      <c r="Q83" s="426">
        <v>2.1</v>
      </c>
      <c r="R83" s="426">
        <v>2.1</v>
      </c>
      <c r="S83" s="426">
        <v>2.1</v>
      </c>
      <c r="T83" s="426">
        <v>2.1</v>
      </c>
      <c r="U83" s="426">
        <v>2.1</v>
      </c>
      <c r="V83" s="426">
        <v>2.1</v>
      </c>
      <c r="W83" s="426">
        <v>2.1</v>
      </c>
      <c r="X83" s="426">
        <v>2.1</v>
      </c>
      <c r="Y83" s="437">
        <v>1000</v>
      </c>
    </row>
    <row r="84" spans="1:26" x14ac:dyDescent="0.25">
      <c r="A84" s="434" t="s">
        <v>34</v>
      </c>
      <c r="B84" s="427">
        <f>B79*2</f>
        <v>0</v>
      </c>
      <c r="C84" s="428">
        <f t="shared" ref="C84:X84" si="14">C79*2</f>
        <v>22</v>
      </c>
      <c r="D84" s="428">
        <f t="shared" si="14"/>
        <v>14</v>
      </c>
      <c r="E84" s="428">
        <f t="shared" si="14"/>
        <v>8</v>
      </c>
      <c r="F84" s="428">
        <f t="shared" si="14"/>
        <v>9.1999999999999993</v>
      </c>
      <c r="G84" s="428">
        <f t="shared" si="14"/>
        <v>9.1999999999999993</v>
      </c>
      <c r="H84" s="428">
        <f t="shared" si="14"/>
        <v>0</v>
      </c>
      <c r="I84" s="428">
        <f t="shared" si="14"/>
        <v>0</v>
      </c>
      <c r="J84" s="428">
        <f t="shared" si="14"/>
        <v>0</v>
      </c>
      <c r="K84" s="428">
        <f t="shared" si="14"/>
        <v>0</v>
      </c>
      <c r="L84" s="428">
        <f t="shared" si="14"/>
        <v>0</v>
      </c>
      <c r="M84" s="428">
        <f t="shared" si="14"/>
        <v>0</v>
      </c>
      <c r="N84" s="428">
        <f t="shared" si="14"/>
        <v>0</v>
      </c>
      <c r="O84" s="428">
        <f t="shared" si="14"/>
        <v>0</v>
      </c>
      <c r="P84" s="428">
        <f t="shared" si="14"/>
        <v>0</v>
      </c>
      <c r="Q84" s="428">
        <f t="shared" si="14"/>
        <v>0</v>
      </c>
      <c r="R84" s="428">
        <f t="shared" si="14"/>
        <v>0</v>
      </c>
      <c r="S84" s="428">
        <f t="shared" si="14"/>
        <v>0</v>
      </c>
      <c r="T84" s="428">
        <f t="shared" si="14"/>
        <v>0</v>
      </c>
      <c r="U84" s="428">
        <f t="shared" si="14"/>
        <v>0</v>
      </c>
      <c r="V84" s="428">
        <f t="shared" si="14"/>
        <v>0</v>
      </c>
      <c r="W84" s="428">
        <f t="shared" si="14"/>
        <v>0</v>
      </c>
      <c r="X84" s="428">
        <f t="shared" si="14"/>
        <v>0</v>
      </c>
      <c r="Y84" s="438">
        <v>0</v>
      </c>
    </row>
    <row r="85" spans="1:26" ht="13.8" thickBot="1" x14ac:dyDescent="0.3">
      <c r="A85" s="435" t="s">
        <v>117</v>
      </c>
      <c r="B85" s="429">
        <f t="shared" ref="B85:X85" si="15">(C84+B84)*(C83-B83)/2</f>
        <v>2.2000000000000002</v>
      </c>
      <c r="C85" s="430">
        <f t="shared" si="15"/>
        <v>1.7999999999999996</v>
      </c>
      <c r="D85" s="430">
        <f t="shared" si="15"/>
        <v>3.3</v>
      </c>
      <c r="E85" s="430">
        <f t="shared" si="15"/>
        <v>1.7200000000000004</v>
      </c>
      <c r="F85" s="430">
        <f t="shared" si="15"/>
        <v>11.04</v>
      </c>
      <c r="G85" s="430">
        <f t="shared" si="15"/>
        <v>0.46000000000000035</v>
      </c>
      <c r="H85" s="430">
        <f t="shared" si="15"/>
        <v>0</v>
      </c>
      <c r="I85" s="430">
        <f t="shared" si="15"/>
        <v>0</v>
      </c>
      <c r="J85" s="430">
        <f t="shared" si="15"/>
        <v>0</v>
      </c>
      <c r="K85" s="430">
        <f t="shared" si="15"/>
        <v>0</v>
      </c>
      <c r="L85" s="430">
        <f t="shared" si="15"/>
        <v>0</v>
      </c>
      <c r="M85" s="430">
        <f t="shared" si="15"/>
        <v>0</v>
      </c>
      <c r="N85" s="430">
        <f t="shared" si="15"/>
        <v>0</v>
      </c>
      <c r="O85" s="430">
        <f t="shared" si="15"/>
        <v>0</v>
      </c>
      <c r="P85" s="430">
        <f t="shared" si="15"/>
        <v>0</v>
      </c>
      <c r="Q85" s="430">
        <f t="shared" si="15"/>
        <v>0</v>
      </c>
      <c r="R85" s="430">
        <f t="shared" si="15"/>
        <v>0</v>
      </c>
      <c r="S85" s="430">
        <f t="shared" si="15"/>
        <v>0</v>
      </c>
      <c r="T85" s="430">
        <f t="shared" si="15"/>
        <v>0</v>
      </c>
      <c r="U85" s="430">
        <f t="shared" si="15"/>
        <v>0</v>
      </c>
      <c r="V85" s="430">
        <f t="shared" si="15"/>
        <v>0</v>
      </c>
      <c r="W85" s="430">
        <f t="shared" si="15"/>
        <v>0</v>
      </c>
      <c r="X85" s="430">
        <f t="shared" si="15"/>
        <v>0</v>
      </c>
      <c r="Y85" s="424"/>
    </row>
    <row r="86" spans="1:26" ht="13.8" thickBot="1" x14ac:dyDescent="0.3">
      <c r="B86" s="17"/>
      <c r="C86" s="17"/>
      <c r="D86" s="17"/>
      <c r="E86" s="17"/>
      <c r="F86" s="17"/>
      <c r="G86" s="17"/>
      <c r="H86" s="17"/>
      <c r="I86" s="17"/>
      <c r="J86" s="17"/>
      <c r="K86" s="17"/>
      <c r="L86" s="17"/>
      <c r="M86" s="17"/>
      <c r="N86" s="17"/>
      <c r="O86" s="17"/>
      <c r="P86" s="17"/>
      <c r="Q86" s="17"/>
      <c r="R86" s="17"/>
      <c r="S86" s="17"/>
      <c r="T86" s="17"/>
      <c r="U86" s="17"/>
      <c r="V86" s="17"/>
      <c r="W86" s="17"/>
      <c r="X86" s="17"/>
      <c r="Y86" s="17"/>
    </row>
    <row r="87" spans="1:26" ht="13.8" thickBot="1" x14ac:dyDescent="0.3">
      <c r="A87" s="416" t="s">
        <v>332</v>
      </c>
      <c r="B87" s="414">
        <f>ROW(A87)</f>
        <v>87</v>
      </c>
      <c r="C87" s="418" t="s">
        <v>116</v>
      </c>
      <c r="D87" s="408">
        <f>SUM(B90:Y90)</f>
        <v>30.779999999999998</v>
      </c>
      <c r="E87" s="418" t="s">
        <v>115</v>
      </c>
      <c r="F87" s="409">
        <f>D87/g/J87</f>
        <v>80.451658433309774</v>
      </c>
      <c r="G87" s="418" t="s">
        <v>57</v>
      </c>
      <c r="H87" s="86">
        <f>H77*3</f>
        <v>7.2000000000000008E-2</v>
      </c>
      <c r="I87" s="418" t="s">
        <v>272</v>
      </c>
      <c r="J87" s="410">
        <f>H87-L87</f>
        <v>3.9000000000000007E-2</v>
      </c>
      <c r="K87" s="418" t="s">
        <v>273</v>
      </c>
      <c r="L87" s="86">
        <f>L77*3</f>
        <v>3.3000000000000002E-2</v>
      </c>
      <c r="M87" s="418" t="s">
        <v>58</v>
      </c>
      <c r="N87" s="87">
        <v>30</v>
      </c>
      <c r="O87" s="418" t="s">
        <v>60</v>
      </c>
      <c r="P87" s="87">
        <v>30</v>
      </c>
      <c r="Q87" s="418" t="s">
        <v>61</v>
      </c>
      <c r="R87" s="87">
        <v>70</v>
      </c>
      <c r="S87" s="418" t="s">
        <v>62</v>
      </c>
      <c r="T87" s="87">
        <v>40</v>
      </c>
      <c r="U87" s="418" t="s">
        <v>55</v>
      </c>
      <c r="V87" s="88" t="s">
        <v>118</v>
      </c>
      <c r="W87" s="547" t="s">
        <v>396</v>
      </c>
      <c r="X87" s="549">
        <v>1.7</v>
      </c>
      <c r="Y87" s="547" t="s">
        <v>395</v>
      </c>
      <c r="Z87" s="413">
        <v>3</v>
      </c>
    </row>
    <row r="88" spans="1:26" x14ac:dyDescent="0.25">
      <c r="A88" s="417" t="s">
        <v>33</v>
      </c>
      <c r="B88" s="425">
        <v>0</v>
      </c>
      <c r="C88" s="426">
        <v>0.2</v>
      </c>
      <c r="D88" s="426">
        <v>0.3</v>
      </c>
      <c r="E88" s="426">
        <v>0.6</v>
      </c>
      <c r="F88" s="426">
        <v>0.8</v>
      </c>
      <c r="G88" s="426">
        <v>2</v>
      </c>
      <c r="H88" s="426">
        <v>2.1</v>
      </c>
      <c r="I88" s="426">
        <v>2.1</v>
      </c>
      <c r="J88" s="426">
        <v>2.1</v>
      </c>
      <c r="K88" s="426">
        <v>2.1</v>
      </c>
      <c r="L88" s="426">
        <v>2.1</v>
      </c>
      <c r="M88" s="426">
        <v>2.1</v>
      </c>
      <c r="N88" s="426">
        <v>2.1</v>
      </c>
      <c r="O88" s="426">
        <v>2.1</v>
      </c>
      <c r="P88" s="426">
        <v>2.1</v>
      </c>
      <c r="Q88" s="426">
        <v>2.1</v>
      </c>
      <c r="R88" s="426">
        <v>2.1</v>
      </c>
      <c r="S88" s="426">
        <v>2.1</v>
      </c>
      <c r="T88" s="426">
        <v>2.1</v>
      </c>
      <c r="U88" s="426">
        <v>2.1</v>
      </c>
      <c r="V88" s="426">
        <v>2.1</v>
      </c>
      <c r="W88" s="426">
        <v>2.1</v>
      </c>
      <c r="X88" s="426">
        <v>2.1</v>
      </c>
      <c r="Y88" s="437">
        <v>1000</v>
      </c>
    </row>
    <row r="89" spans="1:26" x14ac:dyDescent="0.25">
      <c r="A89" s="434" t="s">
        <v>34</v>
      </c>
      <c r="B89" s="427">
        <f>B79*3</f>
        <v>0</v>
      </c>
      <c r="C89" s="428">
        <f t="shared" ref="C89:X89" si="16">C79*3</f>
        <v>33</v>
      </c>
      <c r="D89" s="428">
        <f t="shared" si="16"/>
        <v>21</v>
      </c>
      <c r="E89" s="428">
        <f t="shared" si="16"/>
        <v>12</v>
      </c>
      <c r="F89" s="428">
        <f t="shared" si="16"/>
        <v>13.799999999999999</v>
      </c>
      <c r="G89" s="428">
        <f t="shared" si="16"/>
        <v>13.799999999999999</v>
      </c>
      <c r="H89" s="428">
        <f t="shared" si="16"/>
        <v>0</v>
      </c>
      <c r="I89" s="428">
        <f t="shared" si="16"/>
        <v>0</v>
      </c>
      <c r="J89" s="428">
        <f t="shared" si="16"/>
        <v>0</v>
      </c>
      <c r="K89" s="428">
        <f t="shared" si="16"/>
        <v>0</v>
      </c>
      <c r="L89" s="428">
        <f t="shared" si="16"/>
        <v>0</v>
      </c>
      <c r="M89" s="428">
        <f t="shared" si="16"/>
        <v>0</v>
      </c>
      <c r="N89" s="428">
        <f t="shared" si="16"/>
        <v>0</v>
      </c>
      <c r="O89" s="428">
        <f t="shared" si="16"/>
        <v>0</v>
      </c>
      <c r="P89" s="428">
        <f t="shared" si="16"/>
        <v>0</v>
      </c>
      <c r="Q89" s="428">
        <f t="shared" si="16"/>
        <v>0</v>
      </c>
      <c r="R89" s="428">
        <f t="shared" si="16"/>
        <v>0</v>
      </c>
      <c r="S89" s="428">
        <f t="shared" si="16"/>
        <v>0</v>
      </c>
      <c r="T89" s="428">
        <f t="shared" si="16"/>
        <v>0</v>
      </c>
      <c r="U89" s="428">
        <f t="shared" si="16"/>
        <v>0</v>
      </c>
      <c r="V89" s="428">
        <f t="shared" si="16"/>
        <v>0</v>
      </c>
      <c r="W89" s="428">
        <f t="shared" si="16"/>
        <v>0</v>
      </c>
      <c r="X89" s="428">
        <f t="shared" si="16"/>
        <v>0</v>
      </c>
      <c r="Y89" s="438">
        <v>0</v>
      </c>
    </row>
    <row r="90" spans="1:26" ht="13.8" thickBot="1" x14ac:dyDescent="0.3">
      <c r="A90" s="435" t="s">
        <v>117</v>
      </c>
      <c r="B90" s="429">
        <f t="shared" ref="B90:X90" si="17">(C89+B89)*(C88-B88)/2</f>
        <v>3.3000000000000003</v>
      </c>
      <c r="C90" s="430">
        <f t="shared" si="17"/>
        <v>2.6999999999999993</v>
      </c>
      <c r="D90" s="430">
        <f t="shared" si="17"/>
        <v>4.95</v>
      </c>
      <c r="E90" s="430">
        <f t="shared" si="17"/>
        <v>2.5800000000000005</v>
      </c>
      <c r="F90" s="430">
        <f t="shared" si="17"/>
        <v>16.559999999999999</v>
      </c>
      <c r="G90" s="430">
        <f t="shared" si="17"/>
        <v>0.69000000000000061</v>
      </c>
      <c r="H90" s="430">
        <f t="shared" si="17"/>
        <v>0</v>
      </c>
      <c r="I90" s="430">
        <f t="shared" si="17"/>
        <v>0</v>
      </c>
      <c r="J90" s="430">
        <f t="shared" si="17"/>
        <v>0</v>
      </c>
      <c r="K90" s="430">
        <f t="shared" si="17"/>
        <v>0</v>
      </c>
      <c r="L90" s="430">
        <f t="shared" si="17"/>
        <v>0</v>
      </c>
      <c r="M90" s="430">
        <f t="shared" si="17"/>
        <v>0</v>
      </c>
      <c r="N90" s="430">
        <f t="shared" si="17"/>
        <v>0</v>
      </c>
      <c r="O90" s="430">
        <f t="shared" si="17"/>
        <v>0</v>
      </c>
      <c r="P90" s="430">
        <f t="shared" si="17"/>
        <v>0</v>
      </c>
      <c r="Q90" s="430">
        <f t="shared" si="17"/>
        <v>0</v>
      </c>
      <c r="R90" s="430">
        <f t="shared" si="17"/>
        <v>0</v>
      </c>
      <c r="S90" s="430">
        <f t="shared" si="17"/>
        <v>0</v>
      </c>
      <c r="T90" s="430">
        <f t="shared" si="17"/>
        <v>0</v>
      </c>
      <c r="U90" s="430">
        <f t="shared" si="17"/>
        <v>0</v>
      </c>
      <c r="V90" s="430">
        <f t="shared" si="17"/>
        <v>0</v>
      </c>
      <c r="W90" s="430">
        <f t="shared" si="17"/>
        <v>0</v>
      </c>
      <c r="X90" s="430">
        <f t="shared" si="17"/>
        <v>0</v>
      </c>
      <c r="Y90" s="424"/>
    </row>
    <row r="91" spans="1:26" ht="13.8" thickBot="1" x14ac:dyDescent="0.3">
      <c r="B91" s="17"/>
      <c r="C91" s="17"/>
      <c r="D91" s="17"/>
      <c r="E91" s="17"/>
      <c r="F91" s="17"/>
      <c r="G91" s="17"/>
      <c r="H91" s="17"/>
      <c r="I91" s="17"/>
      <c r="J91" s="17"/>
      <c r="K91" s="17"/>
      <c r="L91" s="17"/>
      <c r="M91" s="17"/>
      <c r="N91" s="17"/>
      <c r="O91" s="17"/>
      <c r="P91" s="17"/>
      <c r="Q91" s="17"/>
      <c r="R91" s="17"/>
      <c r="S91" s="17"/>
      <c r="T91" s="17"/>
      <c r="U91" s="17"/>
      <c r="V91" s="17"/>
      <c r="W91" s="17"/>
      <c r="X91" s="17"/>
      <c r="Y91" s="17"/>
    </row>
    <row r="92" spans="1:26" ht="13.8" thickBot="1" x14ac:dyDescent="0.3">
      <c r="A92" s="416" t="s">
        <v>543</v>
      </c>
      <c r="B92" s="414">
        <f>ROW(A92)</f>
        <v>92</v>
      </c>
      <c r="C92" s="418" t="s">
        <v>116</v>
      </c>
      <c r="D92" s="408">
        <f>SUM(B95:Y95)</f>
        <v>19.961989000000003</v>
      </c>
      <c r="E92" s="418" t="s">
        <v>115</v>
      </c>
      <c r="F92" s="409">
        <f>D92/g/J92</f>
        <v>118.30588744280873</v>
      </c>
      <c r="G92" s="418" t="s">
        <v>57</v>
      </c>
      <c r="H92" s="86">
        <v>2.8199999999999999E-2</v>
      </c>
      <c r="I92" s="418" t="s">
        <v>272</v>
      </c>
      <c r="J92" s="410">
        <f>H92-L92</f>
        <v>1.72E-2</v>
      </c>
      <c r="K92" s="418" t="s">
        <v>273</v>
      </c>
      <c r="L92" s="86">
        <v>1.0999999999999999E-2</v>
      </c>
      <c r="M92" s="418" t="s">
        <v>58</v>
      </c>
      <c r="N92" s="87">
        <v>30</v>
      </c>
      <c r="O92" s="418" t="s">
        <v>60</v>
      </c>
      <c r="P92" s="87">
        <v>30</v>
      </c>
      <c r="Q92" s="418" t="s">
        <v>61</v>
      </c>
      <c r="R92" s="87">
        <v>70</v>
      </c>
      <c r="S92" s="418" t="s">
        <v>62</v>
      </c>
      <c r="T92" s="87">
        <v>18</v>
      </c>
      <c r="U92" s="418" t="s">
        <v>55</v>
      </c>
      <c r="V92" s="88" t="s">
        <v>403</v>
      </c>
      <c r="W92" s="547" t="s">
        <v>396</v>
      </c>
      <c r="X92" s="549">
        <v>2.1</v>
      </c>
      <c r="Y92" s="547" t="s">
        <v>395</v>
      </c>
      <c r="Z92" s="413">
        <v>7</v>
      </c>
    </row>
    <row r="93" spans="1:26" x14ac:dyDescent="0.25">
      <c r="A93" s="417" t="s">
        <v>33</v>
      </c>
      <c r="B93" s="425">
        <v>0</v>
      </c>
      <c r="C93" s="557">
        <v>0.04</v>
      </c>
      <c r="D93" s="557">
        <v>0.11600000000000001</v>
      </c>
      <c r="E93" s="557">
        <v>0.21299999999999999</v>
      </c>
      <c r="F93" s="557">
        <v>0.28599999999999998</v>
      </c>
      <c r="G93" s="557">
        <v>0.32900000000000001</v>
      </c>
      <c r="H93" s="557">
        <v>0.36899999999999999</v>
      </c>
      <c r="I93" s="557">
        <v>0.42</v>
      </c>
      <c r="J93" s="557">
        <v>0.495</v>
      </c>
      <c r="K93" s="557">
        <v>0.59699999999999998</v>
      </c>
      <c r="L93" s="557">
        <v>1.7110000000000001</v>
      </c>
      <c r="M93" s="557">
        <v>1.8260000000000001</v>
      </c>
      <c r="N93" s="557">
        <v>1.917</v>
      </c>
      <c r="O93" s="557">
        <v>1.9750000000000001</v>
      </c>
      <c r="P93" s="557">
        <v>2.206</v>
      </c>
      <c r="Q93" s="557">
        <v>2.242</v>
      </c>
      <c r="R93" s="426">
        <v>2.5</v>
      </c>
      <c r="S93" s="426">
        <v>2.5</v>
      </c>
      <c r="T93" s="426">
        <v>2.5</v>
      </c>
      <c r="U93" s="426">
        <v>2.5</v>
      </c>
      <c r="V93" s="426">
        <v>2.5</v>
      </c>
      <c r="W93" s="426">
        <v>2.5</v>
      </c>
      <c r="X93" s="426">
        <v>2.5</v>
      </c>
      <c r="Y93" s="437">
        <v>1000</v>
      </c>
    </row>
    <row r="94" spans="1:26" x14ac:dyDescent="0.25">
      <c r="A94" s="434" t="s">
        <v>34</v>
      </c>
      <c r="B94" s="427">
        <v>0</v>
      </c>
      <c r="C94" s="557">
        <v>2.1110000000000002</v>
      </c>
      <c r="D94" s="557">
        <v>9.6850000000000005</v>
      </c>
      <c r="E94" s="557">
        <v>25</v>
      </c>
      <c r="F94" s="557">
        <v>15.738</v>
      </c>
      <c r="G94" s="557">
        <v>12.472</v>
      </c>
      <c r="H94" s="557">
        <v>10.67</v>
      </c>
      <c r="I94" s="557">
        <v>9.7129999999999992</v>
      </c>
      <c r="J94" s="557">
        <v>9.1780000000000008</v>
      </c>
      <c r="K94" s="557">
        <v>8.8960000000000008</v>
      </c>
      <c r="L94" s="557">
        <v>8.9250000000000007</v>
      </c>
      <c r="M94" s="557">
        <v>8.6989999999999998</v>
      </c>
      <c r="N94" s="557">
        <v>8.0519999999999996</v>
      </c>
      <c r="O94" s="557">
        <v>6.9539999999999997</v>
      </c>
      <c r="P94" s="557">
        <v>1.07</v>
      </c>
      <c r="Q94" s="557">
        <v>0</v>
      </c>
      <c r="R94" s="428">
        <v>0</v>
      </c>
      <c r="S94" s="428">
        <v>0</v>
      </c>
      <c r="T94" s="428">
        <v>0</v>
      </c>
      <c r="U94" s="428">
        <v>0</v>
      </c>
      <c r="V94" s="428">
        <v>0</v>
      </c>
      <c r="W94" s="428">
        <v>0</v>
      </c>
      <c r="X94" s="428">
        <v>0</v>
      </c>
      <c r="Y94" s="438">
        <v>0</v>
      </c>
    </row>
    <row r="95" spans="1:26" ht="13.8" thickBot="1" x14ac:dyDescent="0.3">
      <c r="A95" s="435" t="s">
        <v>117</v>
      </c>
      <c r="B95" s="429">
        <f t="shared" ref="B95:X95" si="18">(C94+B94)*(C93-B93)/2</f>
        <v>4.2220000000000008E-2</v>
      </c>
      <c r="C95" s="430">
        <f t="shared" si="18"/>
        <v>0.44824800000000009</v>
      </c>
      <c r="D95" s="430">
        <f t="shared" si="18"/>
        <v>1.6822225</v>
      </c>
      <c r="E95" s="430">
        <f t="shared" si="18"/>
        <v>1.4869369999999995</v>
      </c>
      <c r="F95" s="430">
        <f t="shared" si="18"/>
        <v>0.60651500000000058</v>
      </c>
      <c r="G95" s="430">
        <f t="shared" si="18"/>
        <v>0.46283999999999975</v>
      </c>
      <c r="H95" s="430">
        <f t="shared" si="18"/>
        <v>0.51976649999999991</v>
      </c>
      <c r="I95" s="430">
        <f t="shared" si="18"/>
        <v>0.7084125</v>
      </c>
      <c r="J95" s="430">
        <f t="shared" si="18"/>
        <v>0.92177399999999987</v>
      </c>
      <c r="K95" s="430">
        <f t="shared" si="18"/>
        <v>9.9262970000000017</v>
      </c>
      <c r="L95" s="430">
        <f t="shared" si="18"/>
        <v>1.0133799999999999</v>
      </c>
      <c r="M95" s="430">
        <f t="shared" si="18"/>
        <v>0.76217049999999964</v>
      </c>
      <c r="N95" s="430">
        <f t="shared" si="18"/>
        <v>0.43517400000000039</v>
      </c>
      <c r="O95" s="430">
        <f t="shared" si="18"/>
        <v>0.92677199999999937</v>
      </c>
      <c r="P95" s="430">
        <f t="shared" si="18"/>
        <v>1.9260000000000017E-2</v>
      </c>
      <c r="Q95" s="430">
        <f t="shared" si="18"/>
        <v>0</v>
      </c>
      <c r="R95" s="430">
        <f t="shared" si="18"/>
        <v>0</v>
      </c>
      <c r="S95" s="430">
        <f t="shared" si="18"/>
        <v>0</v>
      </c>
      <c r="T95" s="430">
        <f t="shared" si="18"/>
        <v>0</v>
      </c>
      <c r="U95" s="430">
        <f t="shared" si="18"/>
        <v>0</v>
      </c>
      <c r="V95" s="430">
        <f t="shared" si="18"/>
        <v>0</v>
      </c>
      <c r="W95" s="430">
        <f t="shared" si="18"/>
        <v>0</v>
      </c>
      <c r="X95" s="430">
        <f t="shared" si="18"/>
        <v>0</v>
      </c>
      <c r="Y95" s="424"/>
    </row>
    <row r="96" spans="1:26" ht="13.8" thickBot="1" x14ac:dyDescent="0.3">
      <c r="A96" s="17"/>
      <c r="L96" s="17"/>
      <c r="M96" s="17"/>
      <c r="N96" s="17"/>
      <c r="O96" s="17"/>
      <c r="P96" s="17"/>
      <c r="Q96" s="17"/>
      <c r="R96" s="17"/>
      <c r="S96" s="17"/>
      <c r="T96" s="17"/>
      <c r="U96" s="17"/>
      <c r="V96" s="17"/>
      <c r="W96" s="17"/>
      <c r="X96" s="17"/>
      <c r="Y96" s="17"/>
    </row>
    <row r="97" spans="1:26" ht="13.8" thickBot="1" x14ac:dyDescent="0.3">
      <c r="A97" s="416" t="s">
        <v>541</v>
      </c>
      <c r="B97" s="414">
        <f>ROW(A97)</f>
        <v>97</v>
      </c>
      <c r="C97" s="418" t="s">
        <v>116</v>
      </c>
      <c r="D97" s="408">
        <f>SUM(B100:Y100)</f>
        <v>39.923978000000005</v>
      </c>
      <c r="E97" s="418" t="s">
        <v>115</v>
      </c>
      <c r="F97" s="409">
        <f>D97/g/J97</f>
        <v>118.30588744280873</v>
      </c>
      <c r="G97" s="418" t="s">
        <v>57</v>
      </c>
      <c r="H97" s="86">
        <f>H92*2</f>
        <v>5.6399999999999999E-2</v>
      </c>
      <c r="I97" s="418" t="s">
        <v>272</v>
      </c>
      <c r="J97" s="410">
        <f>H97-L97</f>
        <v>3.44E-2</v>
      </c>
      <c r="K97" s="418" t="s">
        <v>273</v>
      </c>
      <c r="L97" s="86">
        <f>L92*2</f>
        <v>2.1999999999999999E-2</v>
      </c>
      <c r="M97" s="418" t="s">
        <v>58</v>
      </c>
      <c r="N97" s="87">
        <v>30</v>
      </c>
      <c r="O97" s="418" t="s">
        <v>60</v>
      </c>
      <c r="P97" s="87">
        <v>30</v>
      </c>
      <c r="Q97" s="418" t="s">
        <v>61</v>
      </c>
      <c r="R97" s="87">
        <v>70</v>
      </c>
      <c r="S97" s="418" t="s">
        <v>62</v>
      </c>
      <c r="T97" s="87">
        <v>30</v>
      </c>
      <c r="U97" s="418" t="s">
        <v>55</v>
      </c>
      <c r="V97" s="88" t="s">
        <v>403</v>
      </c>
      <c r="W97" s="547" t="s">
        <v>396</v>
      </c>
      <c r="X97" s="549">
        <v>2.1</v>
      </c>
      <c r="Y97" s="547" t="s">
        <v>395</v>
      </c>
      <c r="Z97" s="413">
        <v>7</v>
      </c>
    </row>
    <row r="98" spans="1:26" x14ac:dyDescent="0.25">
      <c r="A98" s="417" t="s">
        <v>33</v>
      </c>
      <c r="B98" s="425">
        <v>0</v>
      </c>
      <c r="C98" s="426">
        <f>C93</f>
        <v>0.04</v>
      </c>
      <c r="D98" s="426">
        <f t="shared" ref="D98:X98" si="19">D93</f>
        <v>0.11600000000000001</v>
      </c>
      <c r="E98" s="426">
        <f t="shared" si="19"/>
        <v>0.21299999999999999</v>
      </c>
      <c r="F98" s="426">
        <f t="shared" si="19"/>
        <v>0.28599999999999998</v>
      </c>
      <c r="G98" s="426">
        <f t="shared" si="19"/>
        <v>0.32900000000000001</v>
      </c>
      <c r="H98" s="426">
        <f t="shared" si="19"/>
        <v>0.36899999999999999</v>
      </c>
      <c r="I98" s="426">
        <f t="shared" si="19"/>
        <v>0.42</v>
      </c>
      <c r="J98" s="426">
        <f t="shared" si="19"/>
        <v>0.495</v>
      </c>
      <c r="K98" s="426">
        <f t="shared" si="19"/>
        <v>0.59699999999999998</v>
      </c>
      <c r="L98" s="426">
        <f t="shared" si="19"/>
        <v>1.7110000000000001</v>
      </c>
      <c r="M98" s="426">
        <f t="shared" si="19"/>
        <v>1.8260000000000001</v>
      </c>
      <c r="N98" s="426">
        <f t="shared" si="19"/>
        <v>1.917</v>
      </c>
      <c r="O98" s="426">
        <f t="shared" si="19"/>
        <v>1.9750000000000001</v>
      </c>
      <c r="P98" s="426">
        <f t="shared" si="19"/>
        <v>2.206</v>
      </c>
      <c r="Q98" s="426">
        <f t="shared" si="19"/>
        <v>2.242</v>
      </c>
      <c r="R98" s="426">
        <f t="shared" si="19"/>
        <v>2.5</v>
      </c>
      <c r="S98" s="426">
        <f>S93</f>
        <v>2.5</v>
      </c>
      <c r="T98" s="426">
        <f t="shared" si="19"/>
        <v>2.5</v>
      </c>
      <c r="U98" s="426">
        <f t="shared" si="19"/>
        <v>2.5</v>
      </c>
      <c r="V98" s="426">
        <f t="shared" si="19"/>
        <v>2.5</v>
      </c>
      <c r="W98" s="426">
        <f t="shared" si="19"/>
        <v>2.5</v>
      </c>
      <c r="X98" s="426">
        <f t="shared" si="19"/>
        <v>2.5</v>
      </c>
      <c r="Y98" s="437">
        <v>1000</v>
      </c>
    </row>
    <row r="99" spans="1:26" x14ac:dyDescent="0.25">
      <c r="A99" s="434" t="s">
        <v>34</v>
      </c>
      <c r="B99" s="427">
        <f>B94*2</f>
        <v>0</v>
      </c>
      <c r="C99" s="428">
        <f t="shared" ref="C99:X99" si="20">C94*2</f>
        <v>4.2220000000000004</v>
      </c>
      <c r="D99" s="428">
        <f t="shared" si="20"/>
        <v>19.37</v>
      </c>
      <c r="E99" s="428">
        <f t="shared" si="20"/>
        <v>50</v>
      </c>
      <c r="F99" s="428">
        <f t="shared" si="20"/>
        <v>31.475999999999999</v>
      </c>
      <c r="G99" s="428">
        <f t="shared" si="20"/>
        <v>24.943999999999999</v>
      </c>
      <c r="H99" s="428">
        <f t="shared" si="20"/>
        <v>21.34</v>
      </c>
      <c r="I99" s="428">
        <f t="shared" si="20"/>
        <v>19.425999999999998</v>
      </c>
      <c r="J99" s="428">
        <f t="shared" si="20"/>
        <v>18.356000000000002</v>
      </c>
      <c r="K99" s="428">
        <f t="shared" si="20"/>
        <v>17.792000000000002</v>
      </c>
      <c r="L99" s="428">
        <f t="shared" si="20"/>
        <v>17.850000000000001</v>
      </c>
      <c r="M99" s="428">
        <f t="shared" si="20"/>
        <v>17.398</v>
      </c>
      <c r="N99" s="428">
        <f t="shared" si="20"/>
        <v>16.103999999999999</v>
      </c>
      <c r="O99" s="428">
        <f t="shared" si="20"/>
        <v>13.907999999999999</v>
      </c>
      <c r="P99" s="428">
        <f t="shared" si="20"/>
        <v>2.14</v>
      </c>
      <c r="Q99" s="428">
        <f t="shared" si="20"/>
        <v>0</v>
      </c>
      <c r="R99" s="428">
        <f t="shared" si="20"/>
        <v>0</v>
      </c>
      <c r="S99" s="428">
        <f t="shared" si="20"/>
        <v>0</v>
      </c>
      <c r="T99" s="428">
        <f t="shared" si="20"/>
        <v>0</v>
      </c>
      <c r="U99" s="428">
        <f t="shared" si="20"/>
        <v>0</v>
      </c>
      <c r="V99" s="428">
        <f t="shared" si="20"/>
        <v>0</v>
      </c>
      <c r="W99" s="428">
        <f t="shared" si="20"/>
        <v>0</v>
      </c>
      <c r="X99" s="428">
        <f t="shared" si="20"/>
        <v>0</v>
      </c>
      <c r="Y99" s="438">
        <v>0</v>
      </c>
    </row>
    <row r="100" spans="1:26" ht="13.8" thickBot="1" x14ac:dyDescent="0.3">
      <c r="A100" s="435" t="s">
        <v>117</v>
      </c>
      <c r="B100" s="429">
        <f t="shared" ref="B100:X100" si="21">(C99+B99)*(C98-B98)/2</f>
        <v>8.4440000000000015E-2</v>
      </c>
      <c r="C100" s="430">
        <f t="shared" si="21"/>
        <v>0.89649600000000018</v>
      </c>
      <c r="D100" s="430">
        <f t="shared" si="21"/>
        <v>3.3644449999999999</v>
      </c>
      <c r="E100" s="430">
        <f t="shared" si="21"/>
        <v>2.973873999999999</v>
      </c>
      <c r="F100" s="430">
        <f t="shared" si="21"/>
        <v>1.2130300000000012</v>
      </c>
      <c r="G100" s="430">
        <f t="shared" si="21"/>
        <v>0.9256799999999995</v>
      </c>
      <c r="H100" s="430">
        <f t="shared" si="21"/>
        <v>1.0395329999999998</v>
      </c>
      <c r="I100" s="430">
        <f t="shared" si="21"/>
        <v>1.416825</v>
      </c>
      <c r="J100" s="430">
        <f t="shared" si="21"/>
        <v>1.8435479999999997</v>
      </c>
      <c r="K100" s="430">
        <f t="shared" si="21"/>
        <v>19.852594000000003</v>
      </c>
      <c r="L100" s="430">
        <f t="shared" si="21"/>
        <v>2.0267599999999999</v>
      </c>
      <c r="M100" s="430">
        <f t="shared" si="21"/>
        <v>1.5243409999999993</v>
      </c>
      <c r="N100" s="430">
        <f t="shared" si="21"/>
        <v>0.87034800000000079</v>
      </c>
      <c r="O100" s="430">
        <f t="shared" si="21"/>
        <v>1.8535439999999987</v>
      </c>
      <c r="P100" s="430">
        <f t="shared" si="21"/>
        <v>3.8520000000000033E-2</v>
      </c>
      <c r="Q100" s="430">
        <f t="shared" si="21"/>
        <v>0</v>
      </c>
      <c r="R100" s="430">
        <f t="shared" si="21"/>
        <v>0</v>
      </c>
      <c r="S100" s="430">
        <f t="shared" si="21"/>
        <v>0</v>
      </c>
      <c r="T100" s="430">
        <f t="shared" si="21"/>
        <v>0</v>
      </c>
      <c r="U100" s="430">
        <f t="shared" si="21"/>
        <v>0</v>
      </c>
      <c r="V100" s="430">
        <f t="shared" si="21"/>
        <v>0</v>
      </c>
      <c r="W100" s="430">
        <f t="shared" si="21"/>
        <v>0</v>
      </c>
      <c r="X100" s="430">
        <f t="shared" si="21"/>
        <v>0</v>
      </c>
      <c r="Y100" s="424"/>
    </row>
    <row r="101" spans="1:26" ht="13.8" thickBot="1" x14ac:dyDescent="0.3">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row>
    <row r="102" spans="1:26" ht="13.8" thickBot="1" x14ac:dyDescent="0.3">
      <c r="A102" s="416" t="s">
        <v>542</v>
      </c>
      <c r="B102" s="414">
        <f>ROW(A102)</f>
        <v>102</v>
      </c>
      <c r="C102" s="418" t="s">
        <v>116</v>
      </c>
      <c r="D102" s="408">
        <f>SUM(B105:Y105)</f>
        <v>59.885967000000008</v>
      </c>
      <c r="E102" s="418" t="s">
        <v>115</v>
      </c>
      <c r="F102" s="409">
        <f>D102/g/J102</f>
        <v>118.30588744280874</v>
      </c>
      <c r="G102" s="418" t="s">
        <v>57</v>
      </c>
      <c r="H102" s="86">
        <f>H92*3</f>
        <v>8.4599999999999995E-2</v>
      </c>
      <c r="I102" s="418" t="s">
        <v>272</v>
      </c>
      <c r="J102" s="410">
        <f>H102-L102</f>
        <v>5.1599999999999993E-2</v>
      </c>
      <c r="K102" s="418" t="s">
        <v>273</v>
      </c>
      <c r="L102" s="86">
        <f>L92*3</f>
        <v>3.3000000000000002E-2</v>
      </c>
      <c r="M102" s="418" t="s">
        <v>58</v>
      </c>
      <c r="N102" s="87">
        <v>30</v>
      </c>
      <c r="O102" s="418" t="s">
        <v>60</v>
      </c>
      <c r="P102" s="87">
        <v>30</v>
      </c>
      <c r="Q102" s="418" t="s">
        <v>61</v>
      </c>
      <c r="R102" s="87">
        <v>70</v>
      </c>
      <c r="S102" s="418" t="s">
        <v>62</v>
      </c>
      <c r="T102" s="87">
        <v>40</v>
      </c>
      <c r="U102" s="418" t="s">
        <v>55</v>
      </c>
      <c r="V102" s="88" t="s">
        <v>403</v>
      </c>
      <c r="W102" s="547" t="s">
        <v>396</v>
      </c>
      <c r="X102" s="549">
        <v>2.1</v>
      </c>
      <c r="Y102" s="547" t="s">
        <v>395</v>
      </c>
      <c r="Z102" s="413">
        <v>7</v>
      </c>
    </row>
    <row r="103" spans="1:26" x14ac:dyDescent="0.25">
      <c r="A103" s="417" t="s">
        <v>33</v>
      </c>
      <c r="B103" s="425">
        <v>0</v>
      </c>
      <c r="C103" s="426">
        <f>C93</f>
        <v>0.04</v>
      </c>
      <c r="D103" s="426">
        <f t="shared" ref="D103:X103" si="22">D93</f>
        <v>0.11600000000000001</v>
      </c>
      <c r="E103" s="426">
        <f t="shared" si="22"/>
        <v>0.21299999999999999</v>
      </c>
      <c r="F103" s="426">
        <f t="shared" si="22"/>
        <v>0.28599999999999998</v>
      </c>
      <c r="G103" s="426">
        <f t="shared" si="22"/>
        <v>0.32900000000000001</v>
      </c>
      <c r="H103" s="426">
        <f t="shared" si="22"/>
        <v>0.36899999999999999</v>
      </c>
      <c r="I103" s="426">
        <f t="shared" si="22"/>
        <v>0.42</v>
      </c>
      <c r="J103" s="426">
        <f t="shared" si="22"/>
        <v>0.495</v>
      </c>
      <c r="K103" s="426">
        <f t="shared" si="22"/>
        <v>0.59699999999999998</v>
      </c>
      <c r="L103" s="426">
        <f t="shared" si="22"/>
        <v>1.7110000000000001</v>
      </c>
      <c r="M103" s="426">
        <f t="shared" si="22"/>
        <v>1.8260000000000001</v>
      </c>
      <c r="N103" s="426">
        <f t="shared" si="22"/>
        <v>1.917</v>
      </c>
      <c r="O103" s="426">
        <f t="shared" si="22"/>
        <v>1.9750000000000001</v>
      </c>
      <c r="P103" s="426">
        <f t="shared" si="22"/>
        <v>2.206</v>
      </c>
      <c r="Q103" s="426">
        <f t="shared" si="22"/>
        <v>2.242</v>
      </c>
      <c r="R103" s="426">
        <f t="shared" si="22"/>
        <v>2.5</v>
      </c>
      <c r="S103" s="426">
        <f t="shared" si="22"/>
        <v>2.5</v>
      </c>
      <c r="T103" s="426">
        <f t="shared" si="22"/>
        <v>2.5</v>
      </c>
      <c r="U103" s="426">
        <f t="shared" si="22"/>
        <v>2.5</v>
      </c>
      <c r="V103" s="426">
        <f t="shared" si="22"/>
        <v>2.5</v>
      </c>
      <c r="W103" s="426">
        <f t="shared" si="22"/>
        <v>2.5</v>
      </c>
      <c r="X103" s="426">
        <f t="shared" si="22"/>
        <v>2.5</v>
      </c>
      <c r="Y103" s="437">
        <v>1000</v>
      </c>
    </row>
    <row r="104" spans="1:26" x14ac:dyDescent="0.25">
      <c r="A104" s="434" t="s">
        <v>34</v>
      </c>
      <c r="B104" s="427">
        <f>B94*3</f>
        <v>0</v>
      </c>
      <c r="C104" s="428">
        <f t="shared" ref="C104:X104" si="23">C94*3</f>
        <v>6.3330000000000002</v>
      </c>
      <c r="D104" s="428">
        <f t="shared" si="23"/>
        <v>29.055</v>
      </c>
      <c r="E104" s="428">
        <f t="shared" si="23"/>
        <v>75</v>
      </c>
      <c r="F104" s="428">
        <f t="shared" si="23"/>
        <v>47.213999999999999</v>
      </c>
      <c r="G104" s="428">
        <f t="shared" si="23"/>
        <v>37.415999999999997</v>
      </c>
      <c r="H104" s="428">
        <f t="shared" si="23"/>
        <v>32.01</v>
      </c>
      <c r="I104" s="428">
        <f t="shared" si="23"/>
        <v>29.138999999999996</v>
      </c>
      <c r="J104" s="428">
        <f t="shared" si="23"/>
        <v>27.534000000000002</v>
      </c>
      <c r="K104" s="428">
        <f t="shared" si="23"/>
        <v>26.688000000000002</v>
      </c>
      <c r="L104" s="428">
        <f t="shared" si="23"/>
        <v>26.775000000000002</v>
      </c>
      <c r="M104" s="428">
        <f t="shared" si="23"/>
        <v>26.097000000000001</v>
      </c>
      <c r="N104" s="428">
        <f t="shared" si="23"/>
        <v>24.155999999999999</v>
      </c>
      <c r="O104" s="428">
        <f t="shared" si="23"/>
        <v>20.861999999999998</v>
      </c>
      <c r="P104" s="428">
        <f t="shared" si="23"/>
        <v>3.21</v>
      </c>
      <c r="Q104" s="428">
        <f t="shared" si="23"/>
        <v>0</v>
      </c>
      <c r="R104" s="428">
        <f t="shared" si="23"/>
        <v>0</v>
      </c>
      <c r="S104" s="428">
        <f t="shared" si="23"/>
        <v>0</v>
      </c>
      <c r="T104" s="428">
        <f t="shared" si="23"/>
        <v>0</v>
      </c>
      <c r="U104" s="428">
        <f t="shared" si="23"/>
        <v>0</v>
      </c>
      <c r="V104" s="428">
        <f t="shared" si="23"/>
        <v>0</v>
      </c>
      <c r="W104" s="428">
        <f t="shared" si="23"/>
        <v>0</v>
      </c>
      <c r="X104" s="428">
        <f t="shared" si="23"/>
        <v>0</v>
      </c>
      <c r="Y104" s="438">
        <v>0</v>
      </c>
    </row>
    <row r="105" spans="1:26" ht="13.8" thickBot="1" x14ac:dyDescent="0.3">
      <c r="A105" s="435" t="s">
        <v>117</v>
      </c>
      <c r="B105" s="429">
        <f t="shared" ref="B105:X105" si="24">(C104+B104)*(C103-B103)/2</f>
        <v>0.12665999999999999</v>
      </c>
      <c r="C105" s="430">
        <f t="shared" si="24"/>
        <v>1.3447440000000002</v>
      </c>
      <c r="D105" s="430">
        <f t="shared" si="24"/>
        <v>5.0466674999999999</v>
      </c>
      <c r="E105" s="430">
        <f t="shared" si="24"/>
        <v>4.4608109999999987</v>
      </c>
      <c r="F105" s="430">
        <f t="shared" si="24"/>
        <v>1.8195450000000015</v>
      </c>
      <c r="G105" s="430">
        <f t="shared" si="24"/>
        <v>1.3885199999999991</v>
      </c>
      <c r="H105" s="430">
        <f t="shared" si="24"/>
        <v>1.5592994999999996</v>
      </c>
      <c r="I105" s="430">
        <f t="shared" si="24"/>
        <v>2.1252375000000003</v>
      </c>
      <c r="J105" s="430">
        <f t="shared" si="24"/>
        <v>2.7653219999999998</v>
      </c>
      <c r="K105" s="430">
        <f t="shared" si="24"/>
        <v>29.778891000000009</v>
      </c>
      <c r="L105" s="430">
        <f t="shared" si="24"/>
        <v>3.0401399999999996</v>
      </c>
      <c r="M105" s="430">
        <f t="shared" si="24"/>
        <v>2.2865114999999991</v>
      </c>
      <c r="N105" s="430">
        <f t="shared" si="24"/>
        <v>1.3055220000000012</v>
      </c>
      <c r="O105" s="430">
        <f t="shared" si="24"/>
        <v>2.7803159999999982</v>
      </c>
      <c r="P105" s="430">
        <f t="shared" si="24"/>
        <v>5.7780000000000054E-2</v>
      </c>
      <c r="Q105" s="430">
        <f t="shared" si="24"/>
        <v>0</v>
      </c>
      <c r="R105" s="430">
        <f t="shared" si="24"/>
        <v>0</v>
      </c>
      <c r="S105" s="430">
        <f t="shared" si="24"/>
        <v>0</v>
      </c>
      <c r="T105" s="430">
        <f t="shared" si="24"/>
        <v>0</v>
      </c>
      <c r="U105" s="430">
        <f t="shared" si="24"/>
        <v>0</v>
      </c>
      <c r="V105" s="430">
        <f t="shared" si="24"/>
        <v>0</v>
      </c>
      <c r="W105" s="430">
        <f t="shared" si="24"/>
        <v>0</v>
      </c>
      <c r="X105" s="430">
        <f t="shared" si="24"/>
        <v>0</v>
      </c>
      <c r="Y105" s="424"/>
    </row>
    <row r="107" spans="1:26" ht="13.8" thickBot="1" x14ac:dyDescent="0.3">
      <c r="A107" s="492" t="s">
        <v>318</v>
      </c>
    </row>
    <row r="108" spans="1:26" ht="13.8" thickBot="1" x14ac:dyDescent="0.3">
      <c r="A108" s="416" t="s">
        <v>321</v>
      </c>
      <c r="B108" s="414">
        <f>ROW(A108)</f>
        <v>108</v>
      </c>
      <c r="C108" s="418" t="s">
        <v>116</v>
      </c>
      <c r="D108" s="408">
        <f>SUM(B111:Y111)</f>
        <v>24.269519000000003</v>
      </c>
      <c r="E108" s="418" t="s">
        <v>115</v>
      </c>
      <c r="F108" s="409">
        <f>D108/g/J108</f>
        <v>154.62231778797147</v>
      </c>
      <c r="G108" s="418" t="s">
        <v>57</v>
      </c>
      <c r="H108" s="86">
        <v>5.1999999999999998E-2</v>
      </c>
      <c r="I108" s="418" t="s">
        <v>272</v>
      </c>
      <c r="J108" s="410">
        <f>H108-L108</f>
        <v>1.6E-2</v>
      </c>
      <c r="K108" s="418" t="s">
        <v>273</v>
      </c>
      <c r="L108" s="86">
        <v>3.5999999999999997E-2</v>
      </c>
      <c r="M108" s="418" t="s">
        <v>58</v>
      </c>
      <c r="N108" s="457">
        <v>35</v>
      </c>
      <c r="O108" s="418" t="s">
        <v>60</v>
      </c>
      <c r="P108" s="457">
        <v>35</v>
      </c>
      <c r="Q108" s="418" t="s">
        <v>61</v>
      </c>
      <c r="R108" s="87">
        <v>69</v>
      </c>
      <c r="S108" s="418" t="s">
        <v>62</v>
      </c>
      <c r="T108" s="87">
        <v>24</v>
      </c>
      <c r="U108" s="418" t="s">
        <v>55</v>
      </c>
      <c r="V108" s="88" t="s">
        <v>401</v>
      </c>
      <c r="W108" s="547" t="s">
        <v>396</v>
      </c>
      <c r="X108" s="549">
        <v>1</v>
      </c>
      <c r="Y108" s="547" t="s">
        <v>395</v>
      </c>
      <c r="Z108" s="413">
        <v>13</v>
      </c>
    </row>
    <row r="109" spans="1:26" x14ac:dyDescent="0.25">
      <c r="A109" s="417" t="s">
        <v>33</v>
      </c>
      <c r="B109" s="425">
        <v>0</v>
      </c>
      <c r="C109" s="426">
        <v>8.0000000000000002E-3</v>
      </c>
      <c r="D109" s="426">
        <v>2.5999999999999999E-2</v>
      </c>
      <c r="E109" s="426">
        <v>3.7999999999999999E-2</v>
      </c>
      <c r="F109" s="426">
        <v>6.7000000000000004E-2</v>
      </c>
      <c r="G109" s="426">
        <v>0.10100000000000001</v>
      </c>
      <c r="H109" s="426">
        <v>0.33</v>
      </c>
      <c r="I109" s="426">
        <v>0.52800000000000002</v>
      </c>
      <c r="J109" s="426">
        <v>0.71599999999999997</v>
      </c>
      <c r="K109" s="426">
        <v>0.84099999999999997</v>
      </c>
      <c r="L109" s="426">
        <v>0.91200000000000003</v>
      </c>
      <c r="M109" s="426">
        <v>0.98699999999999999</v>
      </c>
      <c r="N109" s="426">
        <v>1.016</v>
      </c>
      <c r="O109" s="426">
        <v>1.0649999999999999</v>
      </c>
      <c r="P109" s="426">
        <v>1.087</v>
      </c>
      <c r="Q109" s="442">
        <v>2</v>
      </c>
      <c r="R109" s="442">
        <v>2</v>
      </c>
      <c r="S109" s="442">
        <v>2</v>
      </c>
      <c r="T109" s="442">
        <v>2</v>
      </c>
      <c r="U109" s="442">
        <v>2</v>
      </c>
      <c r="V109" s="442">
        <v>2</v>
      </c>
      <c r="W109" s="442">
        <v>2</v>
      </c>
      <c r="X109" s="442">
        <v>2</v>
      </c>
      <c r="Y109" s="444">
        <v>1000</v>
      </c>
    </row>
    <row r="110" spans="1:26" x14ac:dyDescent="0.25">
      <c r="A110" s="434" t="s">
        <v>34</v>
      </c>
      <c r="B110" s="427">
        <v>0</v>
      </c>
      <c r="C110" s="428">
        <v>18.292000000000002</v>
      </c>
      <c r="D110" s="428">
        <v>30</v>
      </c>
      <c r="E110" s="428">
        <v>30.792000000000002</v>
      </c>
      <c r="F110" s="428">
        <v>18.707999999999998</v>
      </c>
      <c r="G110" s="428">
        <v>21.875</v>
      </c>
      <c r="H110" s="428">
        <v>26.082999999999998</v>
      </c>
      <c r="I110" s="428">
        <v>28.042000000000002</v>
      </c>
      <c r="J110" s="428">
        <v>27.875</v>
      </c>
      <c r="K110" s="428">
        <v>23.542000000000002</v>
      </c>
      <c r="L110" s="428">
        <v>17.832999999999998</v>
      </c>
      <c r="M110" s="428">
        <v>7</v>
      </c>
      <c r="N110" s="428">
        <v>3.3330000000000002</v>
      </c>
      <c r="O110" s="428">
        <v>1.083</v>
      </c>
      <c r="P110" s="428">
        <v>0</v>
      </c>
      <c r="Q110" s="433">
        <v>0</v>
      </c>
      <c r="R110" s="433">
        <v>0</v>
      </c>
      <c r="S110" s="433">
        <v>0</v>
      </c>
      <c r="T110" s="433">
        <f>S110</f>
        <v>0</v>
      </c>
      <c r="U110" s="433">
        <f>T110</f>
        <v>0</v>
      </c>
      <c r="V110" s="433">
        <f>U110</f>
        <v>0</v>
      </c>
      <c r="W110" s="433">
        <f>V110</f>
        <v>0</v>
      </c>
      <c r="X110" s="433">
        <f>W110</f>
        <v>0</v>
      </c>
      <c r="Y110" s="439">
        <v>0</v>
      </c>
    </row>
    <row r="111" spans="1:26" ht="13.8" thickBot="1" x14ac:dyDescent="0.3">
      <c r="A111" s="435" t="s">
        <v>117</v>
      </c>
      <c r="B111" s="429">
        <f t="shared" ref="B111:V111" si="25">(C110+B110)*(C109-B109)/2</f>
        <v>7.3168000000000011E-2</v>
      </c>
      <c r="C111" s="430">
        <f t="shared" si="25"/>
        <v>0.43462799999999996</v>
      </c>
      <c r="D111" s="430">
        <f t="shared" si="25"/>
        <v>0.36475200000000002</v>
      </c>
      <c r="E111" s="430">
        <f t="shared" si="25"/>
        <v>0.71775000000000011</v>
      </c>
      <c r="F111" s="430">
        <f t="shared" si="25"/>
        <v>0.68991100000000005</v>
      </c>
      <c r="G111" s="430">
        <f t="shared" si="25"/>
        <v>5.4911909999999997</v>
      </c>
      <c r="H111" s="430">
        <f t="shared" si="25"/>
        <v>5.3583750000000006</v>
      </c>
      <c r="I111" s="430">
        <f t="shared" si="25"/>
        <v>5.2561979999999986</v>
      </c>
      <c r="J111" s="430">
        <f>(K110+J110)*(K109-J109)/2</f>
        <v>3.2135625000000001</v>
      </c>
      <c r="K111" s="430">
        <f t="shared" si="25"/>
        <v>1.4688125000000014</v>
      </c>
      <c r="L111" s="430">
        <f t="shared" si="25"/>
        <v>0.93123749999999939</v>
      </c>
      <c r="M111" s="430">
        <f t="shared" si="25"/>
        <v>0.14982850000000014</v>
      </c>
      <c r="N111" s="430">
        <f t="shared" si="25"/>
        <v>0.10819199999999986</v>
      </c>
      <c r="O111" s="430">
        <f t="shared" si="25"/>
        <v>1.191300000000001E-2</v>
      </c>
      <c r="P111" s="430">
        <f t="shared" si="25"/>
        <v>0</v>
      </c>
      <c r="Q111" s="430">
        <f t="shared" si="25"/>
        <v>0</v>
      </c>
      <c r="R111" s="430">
        <f t="shared" si="25"/>
        <v>0</v>
      </c>
      <c r="S111" s="430">
        <f>(T110+S110)*(T109-S109)/2</f>
        <v>0</v>
      </c>
      <c r="T111" s="430">
        <f t="shared" si="25"/>
        <v>0</v>
      </c>
      <c r="U111" s="430">
        <f t="shared" si="25"/>
        <v>0</v>
      </c>
      <c r="V111" s="430">
        <f t="shared" si="25"/>
        <v>0</v>
      </c>
      <c r="W111" s="430">
        <f>(X110+W110)*(X109-W109)/2</f>
        <v>0</v>
      </c>
      <c r="X111" s="430">
        <f>(Y110+X110)*(Y109-X109)/2</f>
        <v>0</v>
      </c>
      <c r="Y111" s="424"/>
    </row>
    <row r="112" spans="1:26" ht="13.8" thickBot="1" x14ac:dyDescent="0.3"/>
    <row r="113" spans="1:26" ht="13.8" thickBot="1" x14ac:dyDescent="0.3">
      <c r="A113" s="416" t="s">
        <v>419</v>
      </c>
      <c r="B113" s="414">
        <f>ROW(A113)</f>
        <v>113</v>
      </c>
      <c r="C113" s="418" t="s">
        <v>116</v>
      </c>
      <c r="D113" s="408">
        <f>SUM(B116:Y116)</f>
        <v>24.488898000000002</v>
      </c>
      <c r="E113" s="418" t="s">
        <v>115</v>
      </c>
      <c r="F113" s="409">
        <f>D113/g/J113</f>
        <v>121.771701350041</v>
      </c>
      <c r="G113" s="418" t="s">
        <v>57</v>
      </c>
      <c r="H113" s="86">
        <v>5.6500000000000002E-2</v>
      </c>
      <c r="I113" s="418" t="s">
        <v>272</v>
      </c>
      <c r="J113" s="410">
        <f>H113-L113</f>
        <v>2.0500000000000004E-2</v>
      </c>
      <c r="K113" s="418" t="s">
        <v>273</v>
      </c>
      <c r="L113" s="86">
        <v>3.5999999999999997E-2</v>
      </c>
      <c r="M113" s="418" t="s">
        <v>58</v>
      </c>
      <c r="N113" s="457">
        <v>35</v>
      </c>
      <c r="O113" s="418" t="s">
        <v>60</v>
      </c>
      <c r="P113" s="457">
        <v>35</v>
      </c>
      <c r="Q113" s="418" t="s">
        <v>61</v>
      </c>
      <c r="R113" s="87">
        <v>69</v>
      </c>
      <c r="S113" s="418" t="s">
        <v>62</v>
      </c>
      <c r="T113" s="87">
        <v>24</v>
      </c>
      <c r="U113" s="418" t="s">
        <v>55</v>
      </c>
      <c r="V113" s="88" t="s">
        <v>402</v>
      </c>
      <c r="W113" s="547" t="s">
        <v>396</v>
      </c>
      <c r="X113" s="549">
        <v>0.33</v>
      </c>
      <c r="Y113" s="547" t="s">
        <v>395</v>
      </c>
      <c r="Z113" s="413">
        <v>17</v>
      </c>
    </row>
    <row r="114" spans="1:26" x14ac:dyDescent="0.25">
      <c r="A114" s="417" t="s">
        <v>33</v>
      </c>
      <c r="B114" s="425">
        <v>0</v>
      </c>
      <c r="C114" s="426">
        <v>8.9999999999999993E-3</v>
      </c>
      <c r="D114" s="426">
        <v>1.2E-2</v>
      </c>
      <c r="E114" s="426">
        <v>2.3E-2</v>
      </c>
      <c r="F114" s="426">
        <v>2.7E-2</v>
      </c>
      <c r="G114" s="426">
        <v>4.7E-2</v>
      </c>
      <c r="H114" s="426">
        <v>9.1999999999999998E-2</v>
      </c>
      <c r="I114" s="426">
        <v>0.11799999999999999</v>
      </c>
      <c r="J114" s="426">
        <v>0.14099999999999999</v>
      </c>
      <c r="K114" s="426">
        <v>0.192</v>
      </c>
      <c r="L114" s="426">
        <v>0.222</v>
      </c>
      <c r="M114" s="426">
        <v>0.25</v>
      </c>
      <c r="N114" s="426">
        <v>0.26</v>
      </c>
      <c r="O114" s="426">
        <v>0.28100000000000003</v>
      </c>
      <c r="P114" s="426">
        <v>0.28699999999999998</v>
      </c>
      <c r="Q114" s="426">
        <v>0.30599999999999999</v>
      </c>
      <c r="R114" s="426">
        <v>0.314</v>
      </c>
      <c r="S114" s="426">
        <v>0.32600000000000001</v>
      </c>
      <c r="T114" s="426">
        <v>0.32900000000000001</v>
      </c>
      <c r="U114" s="442">
        <v>0.5</v>
      </c>
      <c r="V114" s="442">
        <v>1</v>
      </c>
      <c r="W114" s="442">
        <v>2</v>
      </c>
      <c r="X114" s="442">
        <v>2</v>
      </c>
      <c r="Y114" s="444">
        <v>1000</v>
      </c>
    </row>
    <row r="115" spans="1:26" x14ac:dyDescent="0.25">
      <c r="A115" s="434" t="s">
        <v>34</v>
      </c>
      <c r="B115" s="427">
        <v>0</v>
      </c>
      <c r="C115" s="428">
        <v>84.212999999999994</v>
      </c>
      <c r="D115" s="428">
        <v>95.099000000000004</v>
      </c>
      <c r="E115" s="428">
        <v>77.08</v>
      </c>
      <c r="F115" s="428">
        <v>68.697000000000003</v>
      </c>
      <c r="G115" s="428">
        <v>73.451999999999998</v>
      </c>
      <c r="H115" s="428">
        <v>81.834999999999994</v>
      </c>
      <c r="I115" s="428">
        <v>83.837000000000003</v>
      </c>
      <c r="J115" s="428">
        <v>86.465000000000003</v>
      </c>
      <c r="K115" s="428">
        <v>86.965999999999994</v>
      </c>
      <c r="L115" s="428">
        <v>85.338999999999999</v>
      </c>
      <c r="M115" s="428">
        <v>80.082999999999998</v>
      </c>
      <c r="N115" s="428">
        <v>78.331999999999994</v>
      </c>
      <c r="O115" s="428">
        <v>82.960999999999999</v>
      </c>
      <c r="P115" s="428">
        <v>78.206000000000003</v>
      </c>
      <c r="Q115" s="428">
        <v>24.776</v>
      </c>
      <c r="R115" s="428">
        <v>14.14</v>
      </c>
      <c r="S115" s="428">
        <v>8.5090000000000003</v>
      </c>
      <c r="T115" s="428">
        <v>0</v>
      </c>
      <c r="U115" s="433">
        <f>T115</f>
        <v>0</v>
      </c>
      <c r="V115" s="433">
        <f>U115</f>
        <v>0</v>
      </c>
      <c r="W115" s="433">
        <f>V115</f>
        <v>0</v>
      </c>
      <c r="X115" s="433">
        <f>W115</f>
        <v>0</v>
      </c>
      <c r="Y115" s="439">
        <v>0</v>
      </c>
    </row>
    <row r="116" spans="1:26" ht="13.8" thickBot="1" x14ac:dyDescent="0.3">
      <c r="A116" s="435" t="s">
        <v>117</v>
      </c>
      <c r="B116" s="429">
        <f t="shared" ref="B116:V116" si="26">(C115+B115)*(C114-B114)/2</f>
        <v>0.37895849999999992</v>
      </c>
      <c r="C116" s="430">
        <f t="shared" si="26"/>
        <v>0.2689680000000001</v>
      </c>
      <c r="D116" s="430">
        <f t="shared" si="26"/>
        <v>0.94698450000000001</v>
      </c>
      <c r="E116" s="430">
        <f t="shared" si="26"/>
        <v>0.29155399999999998</v>
      </c>
      <c r="F116" s="430">
        <f t="shared" si="26"/>
        <v>1.4214900000000001</v>
      </c>
      <c r="G116" s="430">
        <f t="shared" si="26"/>
        <v>3.4939574999999992</v>
      </c>
      <c r="H116" s="430">
        <f t="shared" si="26"/>
        <v>2.1537359999999994</v>
      </c>
      <c r="I116" s="430">
        <f t="shared" si="26"/>
        <v>1.9584729999999997</v>
      </c>
      <c r="J116" s="430">
        <f>(K115+J115)*(K114-J114)/2</f>
        <v>4.4224905000000012</v>
      </c>
      <c r="K116" s="430">
        <f t="shared" si="26"/>
        <v>2.5845750000000001</v>
      </c>
      <c r="L116" s="430">
        <f t="shared" si="26"/>
        <v>2.3159079999999999</v>
      </c>
      <c r="M116" s="430">
        <f t="shared" si="26"/>
        <v>0.79207500000000064</v>
      </c>
      <c r="N116" s="430">
        <f t="shared" si="26"/>
        <v>1.6935765000000016</v>
      </c>
      <c r="O116" s="430">
        <f t="shared" si="26"/>
        <v>0.48350099999999596</v>
      </c>
      <c r="P116" s="430">
        <f t="shared" si="26"/>
        <v>0.97832900000000089</v>
      </c>
      <c r="Q116" s="430">
        <f t="shared" si="26"/>
        <v>0.15566400000000014</v>
      </c>
      <c r="R116" s="430">
        <f t="shared" si="26"/>
        <v>0.13589400000000013</v>
      </c>
      <c r="S116" s="430">
        <f>(T115+S115)*(T114-S114)/2</f>
        <v>1.2763500000000013E-2</v>
      </c>
      <c r="T116" s="430">
        <f t="shared" si="26"/>
        <v>0</v>
      </c>
      <c r="U116" s="430">
        <f t="shared" si="26"/>
        <v>0</v>
      </c>
      <c r="V116" s="430">
        <f t="shared" si="26"/>
        <v>0</v>
      </c>
      <c r="W116" s="430">
        <f>(X115+W115)*(X114-W114)/2</f>
        <v>0</v>
      </c>
      <c r="X116" s="430">
        <f>(Y115+X115)*(Y114-X114)/2</f>
        <v>0</v>
      </c>
      <c r="Y116" s="424"/>
    </row>
    <row r="117" spans="1:26" ht="13.8" thickBot="1" x14ac:dyDescent="0.3"/>
    <row r="118" spans="1:26" ht="13.8" thickBot="1" x14ac:dyDescent="0.3">
      <c r="A118" s="416" t="s">
        <v>322</v>
      </c>
      <c r="B118" s="414">
        <f>ROW(A118)</f>
        <v>118</v>
      </c>
      <c r="C118" s="418" t="s">
        <v>116</v>
      </c>
      <c r="D118" s="408">
        <f>SUM(B121:Y121)</f>
        <v>26.083982500000001</v>
      </c>
      <c r="E118" s="418" t="s">
        <v>115</v>
      </c>
      <c r="F118" s="409">
        <f>D118/g/J118</f>
        <v>166.18235537716615</v>
      </c>
      <c r="G118" s="418" t="s">
        <v>57</v>
      </c>
      <c r="H118" s="86">
        <v>5.1999999999999998E-2</v>
      </c>
      <c r="I118" s="418" t="s">
        <v>272</v>
      </c>
      <c r="J118" s="410">
        <f>H118-L118</f>
        <v>1.6E-2</v>
      </c>
      <c r="K118" s="418" t="s">
        <v>273</v>
      </c>
      <c r="L118" s="86">
        <v>3.5999999999999997E-2</v>
      </c>
      <c r="M118" s="418" t="s">
        <v>58</v>
      </c>
      <c r="N118" s="457">
        <v>35</v>
      </c>
      <c r="O118" s="418" t="s">
        <v>60</v>
      </c>
      <c r="P118" s="457">
        <v>35</v>
      </c>
      <c r="Q118" s="418" t="s">
        <v>61</v>
      </c>
      <c r="R118" s="87">
        <v>69</v>
      </c>
      <c r="S118" s="418" t="s">
        <v>62</v>
      </c>
      <c r="T118" s="87">
        <v>24</v>
      </c>
      <c r="U118" s="418" t="s">
        <v>55</v>
      </c>
      <c r="V118" s="88" t="s">
        <v>401</v>
      </c>
      <c r="W118" s="547" t="s">
        <v>396</v>
      </c>
      <c r="X118" s="549">
        <v>0.85</v>
      </c>
      <c r="Y118" s="547" t="s">
        <v>395</v>
      </c>
      <c r="Z118" s="413">
        <v>15</v>
      </c>
    </row>
    <row r="119" spans="1:26" x14ac:dyDescent="0.25">
      <c r="A119" s="417" t="s">
        <v>33</v>
      </c>
      <c r="B119" s="425">
        <v>0</v>
      </c>
      <c r="C119" s="426">
        <v>0.02</v>
      </c>
      <c r="D119" s="426">
        <v>2.7E-2</v>
      </c>
      <c r="E119" s="426">
        <v>4.9000000000000002E-2</v>
      </c>
      <c r="F119" s="426">
        <v>0.113</v>
      </c>
      <c r="G119" s="426">
        <v>0.193</v>
      </c>
      <c r="H119" s="426">
        <v>0.28199999999999997</v>
      </c>
      <c r="I119" s="426">
        <v>0.5</v>
      </c>
      <c r="J119" s="426">
        <v>0.72699999999999998</v>
      </c>
      <c r="K119" s="426">
        <v>0.77100000000000002</v>
      </c>
      <c r="L119" s="426">
        <v>0.80700000000000005</v>
      </c>
      <c r="M119" s="426">
        <v>0.84</v>
      </c>
      <c r="N119" s="426">
        <v>0.87</v>
      </c>
      <c r="O119" s="442">
        <v>1</v>
      </c>
      <c r="P119" s="442">
        <v>1</v>
      </c>
      <c r="Q119" s="442">
        <v>1</v>
      </c>
      <c r="R119" s="442">
        <v>1</v>
      </c>
      <c r="S119" s="442">
        <v>1</v>
      </c>
      <c r="T119" s="442">
        <v>1</v>
      </c>
      <c r="U119" s="442">
        <v>1</v>
      </c>
      <c r="V119" s="442">
        <v>1</v>
      </c>
      <c r="W119" s="442">
        <v>1</v>
      </c>
      <c r="X119" s="442">
        <v>2</v>
      </c>
      <c r="Y119" s="444">
        <v>1000</v>
      </c>
    </row>
    <row r="120" spans="1:26" x14ac:dyDescent="0.25">
      <c r="A120" s="434" t="s">
        <v>34</v>
      </c>
      <c r="B120" s="427">
        <v>0</v>
      </c>
      <c r="C120" s="428">
        <v>43.823999999999998</v>
      </c>
      <c r="D120" s="428">
        <v>39.963999999999999</v>
      </c>
      <c r="E120" s="428">
        <v>26.780999999999999</v>
      </c>
      <c r="F120" s="428">
        <v>32.600999999999999</v>
      </c>
      <c r="G120" s="428">
        <v>34.738999999999997</v>
      </c>
      <c r="H120" s="428">
        <v>35.808</v>
      </c>
      <c r="I120" s="428">
        <v>34.442</v>
      </c>
      <c r="J120" s="428">
        <v>29.276</v>
      </c>
      <c r="K120" s="428">
        <v>22.742999999999999</v>
      </c>
      <c r="L120" s="428">
        <v>9.5609999999999999</v>
      </c>
      <c r="M120" s="428">
        <v>3.5630000000000002</v>
      </c>
      <c r="N120" s="428">
        <v>0</v>
      </c>
      <c r="O120" s="433">
        <v>0</v>
      </c>
      <c r="P120" s="433">
        <v>0</v>
      </c>
      <c r="Q120" s="433">
        <v>0</v>
      </c>
      <c r="R120" s="433">
        <v>0</v>
      </c>
      <c r="S120" s="433">
        <v>0</v>
      </c>
      <c r="T120" s="433">
        <f>S120</f>
        <v>0</v>
      </c>
      <c r="U120" s="433">
        <f>T120</f>
        <v>0</v>
      </c>
      <c r="V120" s="433">
        <f>U120</f>
        <v>0</v>
      </c>
      <c r="W120" s="433">
        <f>V120</f>
        <v>0</v>
      </c>
      <c r="X120" s="433">
        <f>W120</f>
        <v>0</v>
      </c>
      <c r="Y120" s="439">
        <v>0</v>
      </c>
    </row>
    <row r="121" spans="1:26" ht="13.8" thickBot="1" x14ac:dyDescent="0.3">
      <c r="A121" s="435" t="s">
        <v>117</v>
      </c>
      <c r="B121" s="429">
        <f t="shared" ref="B121:V121" si="27">(C120+B120)*(C119-B119)/2</f>
        <v>0.43823999999999996</v>
      </c>
      <c r="C121" s="430">
        <f t="shared" si="27"/>
        <v>0.29325799999999996</v>
      </c>
      <c r="D121" s="430">
        <f t="shared" si="27"/>
        <v>0.73419500000000015</v>
      </c>
      <c r="E121" s="430">
        <f t="shared" si="27"/>
        <v>1.9002239999999999</v>
      </c>
      <c r="F121" s="430">
        <f t="shared" si="27"/>
        <v>2.6936</v>
      </c>
      <c r="G121" s="430">
        <f t="shared" si="27"/>
        <v>3.1393414999999987</v>
      </c>
      <c r="H121" s="430">
        <f t="shared" si="27"/>
        <v>7.6572500000000012</v>
      </c>
      <c r="I121" s="430">
        <f t="shared" si="27"/>
        <v>7.2319930000000001</v>
      </c>
      <c r="J121" s="430">
        <f>(K120+J120)*(K119-J119)/2</f>
        <v>1.144418000000001</v>
      </c>
      <c r="K121" s="430">
        <f t="shared" si="27"/>
        <v>0.58147200000000054</v>
      </c>
      <c r="L121" s="430">
        <f t="shared" si="27"/>
        <v>0.21654599999999946</v>
      </c>
      <c r="M121" s="430">
        <f t="shared" si="27"/>
        <v>5.3445000000000048E-2</v>
      </c>
      <c r="N121" s="430">
        <f t="shared" si="27"/>
        <v>0</v>
      </c>
      <c r="O121" s="430">
        <f t="shared" si="27"/>
        <v>0</v>
      </c>
      <c r="P121" s="430">
        <f t="shared" si="27"/>
        <v>0</v>
      </c>
      <c r="Q121" s="430">
        <f t="shared" si="27"/>
        <v>0</v>
      </c>
      <c r="R121" s="430">
        <f t="shared" si="27"/>
        <v>0</v>
      </c>
      <c r="S121" s="430">
        <f>(T120+S120)*(T119-S119)/2</f>
        <v>0</v>
      </c>
      <c r="T121" s="430">
        <f t="shared" si="27"/>
        <v>0</v>
      </c>
      <c r="U121" s="430">
        <f t="shared" si="27"/>
        <v>0</v>
      </c>
      <c r="V121" s="430">
        <f t="shared" si="27"/>
        <v>0</v>
      </c>
      <c r="W121" s="430">
        <f>(X120+W120)*(X119-W119)/2</f>
        <v>0</v>
      </c>
      <c r="X121" s="430">
        <f>(Y120+X120)*(Y119-X119)/2</f>
        <v>0</v>
      </c>
      <c r="Y121" s="424"/>
    </row>
    <row r="122" spans="1:26" ht="13.8" thickBot="1" x14ac:dyDescent="0.3">
      <c r="A122" s="492" t="s">
        <v>391</v>
      </c>
    </row>
    <row r="123" spans="1:26" ht="13.8" thickBot="1" x14ac:dyDescent="0.3">
      <c r="A123" s="416" t="s">
        <v>392</v>
      </c>
      <c r="B123" s="414">
        <f>ROW(A123)</f>
        <v>123</v>
      </c>
      <c r="C123" s="418" t="s">
        <v>116</v>
      </c>
      <c r="D123" s="408">
        <f>SUM(B126:Y126)</f>
        <v>49.788765499999997</v>
      </c>
      <c r="E123" s="418" t="s">
        <v>115</v>
      </c>
      <c r="F123" s="409">
        <v>231</v>
      </c>
      <c r="G123" s="418" t="s">
        <v>57</v>
      </c>
      <c r="H123" s="86">
        <v>7.2999999999999995E-2</v>
      </c>
      <c r="I123" s="418" t="s">
        <v>272</v>
      </c>
      <c r="J123" s="410">
        <f>H123-L123</f>
        <v>2.7999999999999997E-2</v>
      </c>
      <c r="K123" s="418" t="s">
        <v>273</v>
      </c>
      <c r="L123" s="86">
        <v>4.4999999999999998E-2</v>
      </c>
      <c r="M123" s="418" t="s">
        <v>58</v>
      </c>
      <c r="N123" s="457">
        <v>50</v>
      </c>
      <c r="O123" s="418" t="s">
        <v>60</v>
      </c>
      <c r="P123" s="457">
        <v>50</v>
      </c>
      <c r="Q123" s="418" t="s">
        <v>61</v>
      </c>
      <c r="R123" s="87">
        <v>101</v>
      </c>
      <c r="S123" s="418" t="s">
        <v>62</v>
      </c>
      <c r="T123" s="87">
        <v>24</v>
      </c>
      <c r="U123" s="418" t="s">
        <v>55</v>
      </c>
      <c r="V123" s="88" t="s">
        <v>120</v>
      </c>
      <c r="W123" s="547" t="s">
        <v>396</v>
      </c>
      <c r="X123" s="549">
        <v>1</v>
      </c>
      <c r="Y123" s="547" t="s">
        <v>395</v>
      </c>
      <c r="Z123" s="413">
        <v>13</v>
      </c>
    </row>
    <row r="124" spans="1:26" x14ac:dyDescent="0.25">
      <c r="A124" s="417" t="s">
        <v>33</v>
      </c>
      <c r="B124" s="556">
        <v>0</v>
      </c>
      <c r="C124" s="556">
        <v>1E-3</v>
      </c>
      <c r="D124" s="556">
        <v>2.7E-2</v>
      </c>
      <c r="E124" s="556">
        <v>5.0999999999999997E-2</v>
      </c>
      <c r="F124" s="556">
        <v>0.06</v>
      </c>
      <c r="G124" s="556">
        <v>9.1999999999999998E-2</v>
      </c>
      <c r="H124" s="556">
        <v>0.11899999999999999</v>
      </c>
      <c r="I124" s="556">
        <v>0.17</v>
      </c>
      <c r="J124" s="556">
        <v>0.3</v>
      </c>
      <c r="K124" s="556">
        <v>0.46200000000000002</v>
      </c>
      <c r="L124" s="556">
        <v>0.56899999999999995</v>
      </c>
      <c r="M124" s="556">
        <v>0.67500000000000004</v>
      </c>
      <c r="N124" s="556">
        <v>0.77800000000000002</v>
      </c>
      <c r="O124" s="556">
        <v>0.84599999999999997</v>
      </c>
      <c r="P124" s="556">
        <v>0.91700000000000004</v>
      </c>
      <c r="Q124" s="556">
        <v>1.0089999999999999</v>
      </c>
      <c r="R124" s="556">
        <v>1.032</v>
      </c>
      <c r="S124" s="556">
        <v>1.0449999999999999</v>
      </c>
      <c r="T124" s="442">
        <v>2</v>
      </c>
      <c r="U124" s="442">
        <v>2</v>
      </c>
      <c r="V124" s="442">
        <v>2</v>
      </c>
      <c r="W124" s="442">
        <v>2</v>
      </c>
      <c r="X124" s="442">
        <v>2</v>
      </c>
      <c r="Y124" s="444">
        <v>1000</v>
      </c>
    </row>
    <row r="125" spans="1:26" x14ac:dyDescent="0.25">
      <c r="A125" s="434" t="s">
        <v>34</v>
      </c>
      <c r="B125" s="556">
        <v>0</v>
      </c>
      <c r="C125" s="556">
        <v>5.1449999999999996</v>
      </c>
      <c r="D125" s="556">
        <v>67.975999999999999</v>
      </c>
      <c r="E125" s="556">
        <v>53.807000000000002</v>
      </c>
      <c r="F125" s="556">
        <v>52.88</v>
      </c>
      <c r="G125" s="556">
        <v>55.915999999999997</v>
      </c>
      <c r="H125" s="556">
        <v>57.94</v>
      </c>
      <c r="I125" s="556">
        <v>59.710999999999999</v>
      </c>
      <c r="J125" s="556">
        <v>61.145000000000003</v>
      </c>
      <c r="K125" s="556">
        <v>58.951999999999998</v>
      </c>
      <c r="L125" s="556">
        <v>55.578000000000003</v>
      </c>
      <c r="M125" s="556">
        <v>52.204999999999998</v>
      </c>
      <c r="N125" s="556">
        <v>46.386000000000003</v>
      </c>
      <c r="O125" s="556">
        <v>38.119999999999997</v>
      </c>
      <c r="P125" s="556">
        <v>20.324999999999999</v>
      </c>
      <c r="Q125" s="556">
        <v>3.5419999999999998</v>
      </c>
      <c r="R125" s="556">
        <v>1.6020000000000001</v>
      </c>
      <c r="S125" s="556">
        <v>0</v>
      </c>
      <c r="T125" s="433">
        <f>S125</f>
        <v>0</v>
      </c>
      <c r="U125" s="433">
        <f>T125</f>
        <v>0</v>
      </c>
      <c r="V125" s="433">
        <f>U125</f>
        <v>0</v>
      </c>
      <c r="W125" s="433">
        <f>V125</f>
        <v>0</v>
      </c>
      <c r="X125" s="433">
        <f>W125</f>
        <v>0</v>
      </c>
      <c r="Y125" s="439">
        <v>0</v>
      </c>
    </row>
    <row r="126" spans="1:26" ht="13.8" thickBot="1" x14ac:dyDescent="0.3">
      <c r="A126" s="435" t="s">
        <v>117</v>
      </c>
      <c r="B126" s="429">
        <f t="shared" ref="B126:X126" si="28">(C125+B125)*(C124-B124)/2</f>
        <v>2.5724999999999997E-3</v>
      </c>
      <c r="C126" s="430">
        <f t="shared" si="28"/>
        <v>0.95057299999999989</v>
      </c>
      <c r="D126" s="430">
        <f t="shared" si="28"/>
        <v>1.4613959999999999</v>
      </c>
      <c r="E126" s="430">
        <f t="shared" si="28"/>
        <v>0.48009150000000012</v>
      </c>
      <c r="F126" s="430">
        <f t="shared" si="28"/>
        <v>1.7407359999999998</v>
      </c>
      <c r="G126" s="430">
        <f t="shared" si="28"/>
        <v>1.5370559999999998</v>
      </c>
      <c r="H126" s="430">
        <f t="shared" si="28"/>
        <v>3.0001005000000007</v>
      </c>
      <c r="I126" s="430">
        <f t="shared" si="28"/>
        <v>7.8556399999999984</v>
      </c>
      <c r="J126" s="430">
        <f t="shared" si="28"/>
        <v>9.727857000000002</v>
      </c>
      <c r="K126" s="430">
        <f t="shared" si="28"/>
        <v>6.1273549999999961</v>
      </c>
      <c r="L126" s="430">
        <f t="shared" si="28"/>
        <v>5.7124990000000055</v>
      </c>
      <c r="M126" s="430">
        <f t="shared" si="28"/>
        <v>5.0774364999999992</v>
      </c>
      <c r="N126" s="430">
        <f t="shared" si="28"/>
        <v>2.8732039999999976</v>
      </c>
      <c r="O126" s="430">
        <f t="shared" si="28"/>
        <v>2.0747975000000016</v>
      </c>
      <c r="P126" s="430">
        <f t="shared" si="28"/>
        <v>1.0978819999999982</v>
      </c>
      <c r="Q126" s="430">
        <f t="shared" si="28"/>
        <v>5.915600000000034E-2</v>
      </c>
      <c r="R126" s="430">
        <f t="shared" si="28"/>
        <v>1.0412999999999921E-2</v>
      </c>
      <c r="S126" s="430">
        <f t="shared" si="28"/>
        <v>0</v>
      </c>
      <c r="T126" s="430">
        <f t="shared" si="28"/>
        <v>0</v>
      </c>
      <c r="U126" s="430">
        <f t="shared" si="28"/>
        <v>0</v>
      </c>
      <c r="V126" s="430">
        <f t="shared" si="28"/>
        <v>0</v>
      </c>
      <c r="W126" s="430">
        <f t="shared" si="28"/>
        <v>0</v>
      </c>
      <c r="X126" s="430">
        <f t="shared" si="28"/>
        <v>0</v>
      </c>
      <c r="Y126" s="424"/>
    </row>
    <row r="127" spans="1:26" ht="13.8" thickBot="1" x14ac:dyDescent="0.3"/>
    <row r="128" spans="1:26" ht="13.8" thickBot="1" x14ac:dyDescent="0.3">
      <c r="A128" s="416" t="s">
        <v>393</v>
      </c>
      <c r="B128" s="414">
        <f>ROW(A128)</f>
        <v>128</v>
      </c>
      <c r="C128" s="418" t="s">
        <v>116</v>
      </c>
      <c r="D128" s="408">
        <f>SUM(B131:Y131)</f>
        <v>52.815674000000008</v>
      </c>
      <c r="E128" s="418" t="s">
        <v>115</v>
      </c>
      <c r="F128" s="409">
        <v>239</v>
      </c>
      <c r="G128" s="418" t="s">
        <v>57</v>
      </c>
      <c r="H128" s="86">
        <v>7.2999999999999995E-2</v>
      </c>
      <c r="I128" s="418" t="s">
        <v>272</v>
      </c>
      <c r="J128" s="410">
        <f>H128-L128</f>
        <v>2.8999999999999998E-2</v>
      </c>
      <c r="K128" s="418" t="s">
        <v>273</v>
      </c>
      <c r="L128" s="86">
        <v>4.3999999999999997E-2</v>
      </c>
      <c r="M128" s="418" t="s">
        <v>58</v>
      </c>
      <c r="N128" s="457">
        <v>50</v>
      </c>
      <c r="O128" s="418" t="s">
        <v>60</v>
      </c>
      <c r="P128" s="457">
        <v>50</v>
      </c>
      <c r="Q128" s="418" t="s">
        <v>61</v>
      </c>
      <c r="R128" s="87">
        <v>101</v>
      </c>
      <c r="S128" s="418" t="s">
        <v>62</v>
      </c>
      <c r="T128" s="87">
        <v>24</v>
      </c>
      <c r="U128" s="418" t="s">
        <v>55</v>
      </c>
      <c r="V128" s="88" t="s">
        <v>120</v>
      </c>
      <c r="W128" s="547" t="s">
        <v>396</v>
      </c>
      <c r="X128" s="549">
        <v>0.77</v>
      </c>
      <c r="Y128" s="547" t="s">
        <v>395</v>
      </c>
      <c r="Z128" s="413">
        <v>14</v>
      </c>
    </row>
    <row r="129" spans="1:26" x14ac:dyDescent="0.25">
      <c r="A129" s="417" t="s">
        <v>33</v>
      </c>
      <c r="B129" s="556">
        <v>0</v>
      </c>
      <c r="C129" s="556">
        <v>1E-3</v>
      </c>
      <c r="D129" s="556">
        <v>1.2999999999999999E-2</v>
      </c>
      <c r="E129" s="556">
        <v>2.3E-2</v>
      </c>
      <c r="F129" s="556">
        <v>5.1999999999999998E-2</v>
      </c>
      <c r="G129" s="556">
        <v>0.1</v>
      </c>
      <c r="H129" s="556">
        <v>0.379</v>
      </c>
      <c r="I129" s="556">
        <v>0.64100000000000001</v>
      </c>
      <c r="J129" s="556">
        <v>0.66500000000000004</v>
      </c>
      <c r="K129" s="556">
        <v>0.70599999999999996</v>
      </c>
      <c r="L129" s="556">
        <v>0.74399999999999999</v>
      </c>
      <c r="M129" s="556">
        <v>0.78700000000000003</v>
      </c>
      <c r="N129" s="556">
        <v>0.81599999999999995</v>
      </c>
      <c r="O129" s="426">
        <v>1</v>
      </c>
      <c r="P129" s="426">
        <v>1</v>
      </c>
      <c r="Q129" s="426">
        <v>1</v>
      </c>
      <c r="R129" s="426">
        <v>1</v>
      </c>
      <c r="S129" s="426">
        <v>1</v>
      </c>
      <c r="T129" s="426">
        <v>1</v>
      </c>
      <c r="U129" s="426">
        <v>1</v>
      </c>
      <c r="V129" s="442">
        <v>1</v>
      </c>
      <c r="W129" s="442">
        <v>2</v>
      </c>
      <c r="X129" s="442">
        <v>2</v>
      </c>
      <c r="Y129" s="444">
        <v>1000</v>
      </c>
    </row>
    <row r="130" spans="1:26" x14ac:dyDescent="0.25">
      <c r="A130" s="434" t="s">
        <v>34</v>
      </c>
      <c r="B130" s="556">
        <v>0</v>
      </c>
      <c r="C130" s="556">
        <v>8.3030000000000008</v>
      </c>
      <c r="D130" s="556">
        <v>85.68</v>
      </c>
      <c r="E130" s="556">
        <v>96.149000000000001</v>
      </c>
      <c r="F130" s="556">
        <v>78.820999999999998</v>
      </c>
      <c r="G130" s="556">
        <v>83.634</v>
      </c>
      <c r="H130" s="556">
        <v>77.858000000000004</v>
      </c>
      <c r="I130" s="556">
        <v>62.575000000000003</v>
      </c>
      <c r="J130" s="556">
        <v>55.716000000000001</v>
      </c>
      <c r="K130" s="556">
        <v>23.946999999999999</v>
      </c>
      <c r="L130" s="556">
        <v>9.1460000000000008</v>
      </c>
      <c r="M130" s="556">
        <v>2.7679999999999998</v>
      </c>
      <c r="N130" s="556">
        <v>0</v>
      </c>
      <c r="O130" s="428">
        <v>0</v>
      </c>
      <c r="P130" s="428">
        <v>0</v>
      </c>
      <c r="Q130" s="428">
        <v>0</v>
      </c>
      <c r="R130" s="428">
        <v>0</v>
      </c>
      <c r="S130" s="428">
        <v>0</v>
      </c>
      <c r="T130" s="428">
        <v>0</v>
      </c>
      <c r="U130" s="428">
        <v>0</v>
      </c>
      <c r="V130" s="433">
        <f>U130</f>
        <v>0</v>
      </c>
      <c r="W130" s="433">
        <f>V130</f>
        <v>0</v>
      </c>
      <c r="X130" s="433">
        <f>W130</f>
        <v>0</v>
      </c>
      <c r="Y130" s="439">
        <v>0</v>
      </c>
    </row>
    <row r="131" spans="1:26" ht="13.8" thickBot="1" x14ac:dyDescent="0.3">
      <c r="A131" s="435" t="s">
        <v>117</v>
      </c>
      <c r="B131" s="429">
        <f t="shared" ref="B131:X131" si="29">(C130+B130)*(C129-B129)/2</f>
        <v>4.1515000000000007E-3</v>
      </c>
      <c r="C131" s="430">
        <f t="shared" si="29"/>
        <v>0.56389800000000001</v>
      </c>
      <c r="D131" s="430">
        <f t="shared" si="29"/>
        <v>0.90914500000000009</v>
      </c>
      <c r="E131" s="430">
        <f t="shared" si="29"/>
        <v>2.5370649999999997</v>
      </c>
      <c r="F131" s="430">
        <f t="shared" si="29"/>
        <v>3.8989200000000004</v>
      </c>
      <c r="G131" s="430">
        <f t="shared" si="29"/>
        <v>22.528134000000005</v>
      </c>
      <c r="H131" s="430">
        <f t="shared" si="29"/>
        <v>18.396723000000001</v>
      </c>
      <c r="I131" s="430">
        <f t="shared" si="29"/>
        <v>1.4194920000000013</v>
      </c>
      <c r="J131" s="430">
        <f t="shared" si="29"/>
        <v>1.633091499999997</v>
      </c>
      <c r="K131" s="430">
        <f t="shared" si="29"/>
        <v>0.62876700000000063</v>
      </c>
      <c r="L131" s="430">
        <f t="shared" si="29"/>
        <v>0.25615100000000024</v>
      </c>
      <c r="M131" s="430">
        <f t="shared" si="29"/>
        <v>4.013599999999988E-2</v>
      </c>
      <c r="N131" s="430">
        <f t="shared" si="29"/>
        <v>0</v>
      </c>
      <c r="O131" s="430">
        <f t="shared" si="29"/>
        <v>0</v>
      </c>
      <c r="P131" s="430">
        <f t="shared" si="29"/>
        <v>0</v>
      </c>
      <c r="Q131" s="430">
        <f t="shared" si="29"/>
        <v>0</v>
      </c>
      <c r="R131" s="430">
        <f t="shared" si="29"/>
        <v>0</v>
      </c>
      <c r="S131" s="430">
        <f t="shared" si="29"/>
        <v>0</v>
      </c>
      <c r="T131" s="430">
        <f t="shared" si="29"/>
        <v>0</v>
      </c>
      <c r="U131" s="430">
        <f t="shared" si="29"/>
        <v>0</v>
      </c>
      <c r="V131" s="430">
        <f t="shared" si="29"/>
        <v>0</v>
      </c>
      <c r="W131" s="430">
        <f t="shared" si="29"/>
        <v>0</v>
      </c>
      <c r="X131" s="430">
        <f t="shared" si="29"/>
        <v>0</v>
      </c>
      <c r="Y131" s="424"/>
    </row>
    <row r="132" spans="1:26" ht="13.8" thickBot="1" x14ac:dyDescent="0.3">
      <c r="A132" s="492" t="s">
        <v>315</v>
      </c>
    </row>
    <row r="133" spans="1:26" ht="13.8" thickBot="1" x14ac:dyDescent="0.3">
      <c r="A133" s="416" t="s">
        <v>383</v>
      </c>
      <c r="B133" s="414">
        <f>ROW(A133)</f>
        <v>133</v>
      </c>
      <c r="C133" s="418" t="s">
        <v>116</v>
      </c>
      <c r="D133" s="408">
        <f>SUM(B136:Y136)</f>
        <v>41.835000000000015</v>
      </c>
      <c r="E133" s="418" t="s">
        <v>115</v>
      </c>
      <c r="F133" s="409">
        <f>D133/g/J133</f>
        <v>121.84359982525126</v>
      </c>
      <c r="G133" s="418" t="s">
        <v>57</v>
      </c>
      <c r="H133" s="86">
        <v>0.104</v>
      </c>
      <c r="I133" s="418" t="s">
        <v>272</v>
      </c>
      <c r="J133" s="410">
        <f>H133-L133</f>
        <v>3.4999999999999989E-2</v>
      </c>
      <c r="K133" s="418" t="s">
        <v>273</v>
      </c>
      <c r="L133" s="86">
        <v>6.9000000000000006E-2</v>
      </c>
      <c r="M133" s="418" t="s">
        <v>58</v>
      </c>
      <c r="N133" s="87">
        <v>49</v>
      </c>
      <c r="O133" s="418" t="s">
        <v>60</v>
      </c>
      <c r="P133" s="87">
        <v>49</v>
      </c>
      <c r="Q133" s="418" t="s">
        <v>61</v>
      </c>
      <c r="R133" s="87">
        <v>98</v>
      </c>
      <c r="S133" s="418" t="s">
        <v>62</v>
      </c>
      <c r="T133" s="87">
        <v>29</v>
      </c>
      <c r="U133" s="418" t="s">
        <v>55</v>
      </c>
      <c r="V133" s="88" t="s">
        <v>401</v>
      </c>
      <c r="W133" s="547" t="s">
        <v>396</v>
      </c>
      <c r="X133" s="549">
        <v>1.07</v>
      </c>
      <c r="Y133" s="547" t="s">
        <v>395</v>
      </c>
      <c r="Z133" s="413">
        <v>11</v>
      </c>
    </row>
    <row r="134" spans="1:26" x14ac:dyDescent="0.25">
      <c r="A134" s="417" t="s">
        <v>33</v>
      </c>
      <c r="B134" s="441">
        <v>0</v>
      </c>
      <c r="C134" s="442">
        <v>0.01</v>
      </c>
      <c r="D134" s="442">
        <v>0.02</v>
      </c>
      <c r="E134" s="442">
        <v>0.03</v>
      </c>
      <c r="F134" s="442">
        <v>0.04</v>
      </c>
      <c r="G134" s="442">
        <v>0.06</v>
      </c>
      <c r="H134" s="442">
        <v>7.0000000000000007E-2</v>
      </c>
      <c r="I134" s="442">
        <v>0.08</v>
      </c>
      <c r="J134" s="442">
        <v>0.1</v>
      </c>
      <c r="K134" s="442">
        <v>0.2</v>
      </c>
      <c r="L134" s="442">
        <v>0.3</v>
      </c>
      <c r="M134" s="442">
        <v>0.4</v>
      </c>
      <c r="N134" s="442">
        <v>0.5</v>
      </c>
      <c r="O134" s="442">
        <v>0.6</v>
      </c>
      <c r="P134" s="442">
        <v>0.7</v>
      </c>
      <c r="Q134" s="442">
        <v>0.8</v>
      </c>
      <c r="R134" s="442">
        <v>0.85</v>
      </c>
      <c r="S134" s="442">
        <v>0.92</v>
      </c>
      <c r="T134" s="442">
        <v>0.95</v>
      </c>
      <c r="U134" s="442">
        <v>0.99</v>
      </c>
      <c r="V134" s="442">
        <v>1.05</v>
      </c>
      <c r="W134" s="442">
        <v>1.05</v>
      </c>
      <c r="X134" s="442">
        <v>2</v>
      </c>
      <c r="Y134" s="444">
        <v>1000</v>
      </c>
    </row>
    <row r="135" spans="1:26" x14ac:dyDescent="0.25">
      <c r="A135" s="434" t="s">
        <v>34</v>
      </c>
      <c r="B135" s="443">
        <v>0</v>
      </c>
      <c r="C135" s="433">
        <v>12</v>
      </c>
      <c r="D135" s="433">
        <v>46</v>
      </c>
      <c r="E135" s="433">
        <v>75</v>
      </c>
      <c r="F135" s="433">
        <v>79</v>
      </c>
      <c r="G135" s="433">
        <v>77</v>
      </c>
      <c r="H135" s="433">
        <v>62</v>
      </c>
      <c r="I135" s="433">
        <v>32</v>
      </c>
      <c r="J135" s="433">
        <v>35</v>
      </c>
      <c r="K135" s="433">
        <v>38</v>
      </c>
      <c r="L135" s="433">
        <v>39</v>
      </c>
      <c r="M135" s="433">
        <v>41</v>
      </c>
      <c r="N135" s="433">
        <v>43</v>
      </c>
      <c r="O135" s="433">
        <v>43</v>
      </c>
      <c r="P135" s="433">
        <v>43</v>
      </c>
      <c r="Q135" s="433">
        <v>43</v>
      </c>
      <c r="R135" s="433">
        <v>47</v>
      </c>
      <c r="S135" s="433">
        <v>54</v>
      </c>
      <c r="T135" s="433">
        <v>32</v>
      </c>
      <c r="U135" s="433">
        <v>8</v>
      </c>
      <c r="V135" s="433">
        <v>0</v>
      </c>
      <c r="W135" s="433">
        <v>0</v>
      </c>
      <c r="X135" s="433">
        <v>0</v>
      </c>
      <c r="Y135" s="439">
        <v>0</v>
      </c>
    </row>
    <row r="136" spans="1:26" ht="13.8" thickBot="1" x14ac:dyDescent="0.3">
      <c r="A136" s="435" t="s">
        <v>117</v>
      </c>
      <c r="B136" s="429">
        <f t="shared" ref="B136:X136" si="30">(C135+B135)*(C134-B134)/2</f>
        <v>0.06</v>
      </c>
      <c r="C136" s="430">
        <f t="shared" si="30"/>
        <v>0.28999999999999998</v>
      </c>
      <c r="D136" s="430">
        <f t="shared" si="30"/>
        <v>0.60499999999999987</v>
      </c>
      <c r="E136" s="430">
        <f t="shared" si="30"/>
        <v>0.77000000000000013</v>
      </c>
      <c r="F136" s="430">
        <f t="shared" si="30"/>
        <v>1.5599999999999998</v>
      </c>
      <c r="G136" s="430">
        <f t="shared" si="30"/>
        <v>0.69500000000000062</v>
      </c>
      <c r="H136" s="430">
        <f t="shared" si="30"/>
        <v>0.46999999999999975</v>
      </c>
      <c r="I136" s="430">
        <f t="shared" si="30"/>
        <v>0.67000000000000015</v>
      </c>
      <c r="J136" s="430">
        <f t="shared" si="30"/>
        <v>3.6500000000000004</v>
      </c>
      <c r="K136" s="430">
        <f t="shared" si="30"/>
        <v>3.8499999999999992</v>
      </c>
      <c r="L136" s="430">
        <f t="shared" si="30"/>
        <v>4.0000000000000018</v>
      </c>
      <c r="M136" s="430">
        <f t="shared" si="30"/>
        <v>4.1999999999999993</v>
      </c>
      <c r="N136" s="430">
        <f t="shared" si="30"/>
        <v>4.2999999999999989</v>
      </c>
      <c r="O136" s="430">
        <f t="shared" si="30"/>
        <v>4.2999999999999989</v>
      </c>
      <c r="P136" s="430">
        <f t="shared" si="30"/>
        <v>4.3000000000000043</v>
      </c>
      <c r="Q136" s="430">
        <f t="shared" si="30"/>
        <v>2.2499999999999969</v>
      </c>
      <c r="R136" s="430">
        <f t="shared" si="30"/>
        <v>3.5350000000000033</v>
      </c>
      <c r="S136" s="430">
        <f t="shared" si="30"/>
        <v>1.2899999999999965</v>
      </c>
      <c r="T136" s="430">
        <f t="shared" si="30"/>
        <v>0.80000000000000071</v>
      </c>
      <c r="U136" s="430">
        <f t="shared" si="30"/>
        <v>0.24000000000000021</v>
      </c>
      <c r="V136" s="430">
        <f t="shared" si="30"/>
        <v>0</v>
      </c>
      <c r="W136" s="430">
        <f t="shared" si="30"/>
        <v>0</v>
      </c>
      <c r="X136" s="430">
        <f t="shared" si="30"/>
        <v>0</v>
      </c>
      <c r="Y136" s="424"/>
    </row>
    <row r="137" spans="1:26" ht="13.8" thickBot="1" x14ac:dyDescent="0.3">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row>
    <row r="138" spans="1:26" ht="13.8" thickBot="1" x14ac:dyDescent="0.3">
      <c r="A138" s="416" t="s">
        <v>384</v>
      </c>
      <c r="B138" s="414">
        <f>ROW(A138)</f>
        <v>138</v>
      </c>
      <c r="C138" s="418" t="s">
        <v>116</v>
      </c>
      <c r="D138" s="408">
        <f>SUM(B141:Y141)</f>
        <v>52.564999999999998</v>
      </c>
      <c r="E138" s="418" t="s">
        <v>115</v>
      </c>
      <c r="F138" s="409">
        <f>D138/g/J138</f>
        <v>167.44712028542301</v>
      </c>
      <c r="G138" s="418" t="s">
        <v>57</v>
      </c>
      <c r="H138" s="86">
        <v>0.10100000000000001</v>
      </c>
      <c r="I138" s="418" t="s">
        <v>272</v>
      </c>
      <c r="J138" s="410">
        <f>H138-L138</f>
        <v>3.2000000000000001E-2</v>
      </c>
      <c r="K138" s="418" t="s">
        <v>273</v>
      </c>
      <c r="L138" s="86">
        <v>6.9000000000000006E-2</v>
      </c>
      <c r="M138" s="418" t="s">
        <v>58</v>
      </c>
      <c r="N138" s="87">
        <v>49</v>
      </c>
      <c r="O138" s="418" t="s">
        <v>60</v>
      </c>
      <c r="P138" s="87">
        <v>49</v>
      </c>
      <c r="Q138" s="418" t="s">
        <v>61</v>
      </c>
      <c r="R138" s="87">
        <v>98</v>
      </c>
      <c r="S138" s="418" t="s">
        <v>62</v>
      </c>
      <c r="T138" s="87">
        <v>29</v>
      </c>
      <c r="U138" s="418" t="s">
        <v>55</v>
      </c>
      <c r="V138" s="88" t="s">
        <v>402</v>
      </c>
      <c r="W138" s="547" t="s">
        <v>396</v>
      </c>
      <c r="X138" s="549">
        <v>1.8</v>
      </c>
      <c r="Y138" s="547" t="s">
        <v>395</v>
      </c>
      <c r="Z138" s="413">
        <v>12</v>
      </c>
    </row>
    <row r="139" spans="1:26" x14ac:dyDescent="0.25">
      <c r="A139" s="417" t="s">
        <v>33</v>
      </c>
      <c r="B139" s="441">
        <v>0</v>
      </c>
      <c r="C139" s="442">
        <v>0.01</v>
      </c>
      <c r="D139" s="442">
        <v>0.03</v>
      </c>
      <c r="E139" s="442">
        <v>0.04</v>
      </c>
      <c r="F139" s="442">
        <v>0.05</v>
      </c>
      <c r="G139" s="442">
        <v>0.06</v>
      </c>
      <c r="H139" s="442">
        <v>7.0000000000000007E-2</v>
      </c>
      <c r="I139" s="442">
        <v>0.08</v>
      </c>
      <c r="J139" s="442">
        <v>0.09</v>
      </c>
      <c r="K139" s="442">
        <v>0.1</v>
      </c>
      <c r="L139" s="442">
        <v>0.2</v>
      </c>
      <c r="M139" s="442">
        <v>0.3</v>
      </c>
      <c r="N139" s="442">
        <v>0.4</v>
      </c>
      <c r="O139" s="442">
        <v>0.5</v>
      </c>
      <c r="P139" s="442">
        <v>0.7</v>
      </c>
      <c r="Q139" s="442">
        <v>0.8</v>
      </c>
      <c r="R139" s="442">
        <v>0.9</v>
      </c>
      <c r="S139" s="442">
        <v>1</v>
      </c>
      <c r="T139" s="442">
        <v>1.1000000000000001</v>
      </c>
      <c r="U139" s="442">
        <v>1.24</v>
      </c>
      <c r="V139" s="442">
        <v>1.3</v>
      </c>
      <c r="W139" s="442">
        <v>1.5</v>
      </c>
      <c r="X139" s="442">
        <v>2</v>
      </c>
      <c r="Y139" s="444">
        <v>1000</v>
      </c>
    </row>
    <row r="140" spans="1:26" x14ac:dyDescent="0.25">
      <c r="A140" s="434" t="s">
        <v>34</v>
      </c>
      <c r="B140" s="443">
        <v>0</v>
      </c>
      <c r="C140" s="433">
        <v>12</v>
      </c>
      <c r="D140" s="433">
        <v>41</v>
      </c>
      <c r="E140" s="433">
        <v>42</v>
      </c>
      <c r="F140" s="433">
        <v>42</v>
      </c>
      <c r="G140" s="433">
        <v>40</v>
      </c>
      <c r="H140" s="433">
        <v>34</v>
      </c>
      <c r="I140" s="433">
        <v>34</v>
      </c>
      <c r="J140" s="433">
        <v>35</v>
      </c>
      <c r="K140" s="433">
        <v>36</v>
      </c>
      <c r="L140" s="433">
        <v>40</v>
      </c>
      <c r="M140" s="433">
        <v>42</v>
      </c>
      <c r="N140" s="433">
        <v>43</v>
      </c>
      <c r="O140" s="433">
        <v>43</v>
      </c>
      <c r="P140" s="433">
        <v>43</v>
      </c>
      <c r="Q140" s="433">
        <v>42</v>
      </c>
      <c r="R140" s="433">
        <v>41</v>
      </c>
      <c r="S140" s="433">
        <v>40</v>
      </c>
      <c r="T140" s="433">
        <v>38</v>
      </c>
      <c r="U140" s="433">
        <v>37</v>
      </c>
      <c r="V140" s="433">
        <v>12</v>
      </c>
      <c r="W140" s="433">
        <v>0</v>
      </c>
      <c r="X140" s="433">
        <v>0</v>
      </c>
      <c r="Y140" s="439">
        <v>0</v>
      </c>
    </row>
    <row r="141" spans="1:26" ht="13.8" thickBot="1" x14ac:dyDescent="0.3">
      <c r="A141" s="435" t="s">
        <v>117</v>
      </c>
      <c r="B141" s="429">
        <f t="shared" ref="B141:X141" si="31">(C140+B140)*(C139-B139)/2</f>
        <v>0.06</v>
      </c>
      <c r="C141" s="430">
        <f t="shared" si="31"/>
        <v>0.52999999999999992</v>
      </c>
      <c r="D141" s="430">
        <f t="shared" si="31"/>
        <v>0.41500000000000009</v>
      </c>
      <c r="E141" s="430">
        <f t="shared" si="31"/>
        <v>0.4200000000000001</v>
      </c>
      <c r="F141" s="430">
        <f t="shared" si="31"/>
        <v>0.40999999999999981</v>
      </c>
      <c r="G141" s="430">
        <f t="shared" si="31"/>
        <v>0.37000000000000033</v>
      </c>
      <c r="H141" s="430">
        <f t="shared" si="31"/>
        <v>0.33999999999999986</v>
      </c>
      <c r="I141" s="430">
        <f t="shared" si="31"/>
        <v>0.34499999999999981</v>
      </c>
      <c r="J141" s="430">
        <f t="shared" si="31"/>
        <v>0.35500000000000032</v>
      </c>
      <c r="K141" s="430">
        <f t="shared" si="31"/>
        <v>3.8000000000000003</v>
      </c>
      <c r="L141" s="430">
        <f t="shared" si="31"/>
        <v>4.0999999999999988</v>
      </c>
      <c r="M141" s="430">
        <f t="shared" si="31"/>
        <v>4.2500000000000018</v>
      </c>
      <c r="N141" s="430">
        <f t="shared" si="31"/>
        <v>4.2999999999999989</v>
      </c>
      <c r="O141" s="430">
        <f t="shared" si="31"/>
        <v>8.5999999999999979</v>
      </c>
      <c r="P141" s="430">
        <f t="shared" si="31"/>
        <v>4.2500000000000036</v>
      </c>
      <c r="Q141" s="430">
        <f t="shared" si="31"/>
        <v>4.1499999999999995</v>
      </c>
      <c r="R141" s="430">
        <f t="shared" si="31"/>
        <v>4.0499999999999989</v>
      </c>
      <c r="S141" s="430">
        <f t="shared" si="31"/>
        <v>3.9000000000000035</v>
      </c>
      <c r="T141" s="430">
        <f t="shared" si="31"/>
        <v>5.2499999999999964</v>
      </c>
      <c r="U141" s="430">
        <f t="shared" si="31"/>
        <v>1.4700000000000013</v>
      </c>
      <c r="V141" s="430">
        <f t="shared" si="31"/>
        <v>1.1999999999999997</v>
      </c>
      <c r="W141" s="430">
        <f t="shared" si="31"/>
        <v>0</v>
      </c>
      <c r="X141" s="430">
        <f t="shared" si="31"/>
        <v>0</v>
      </c>
      <c r="Y141" s="424"/>
    </row>
    <row r="142" spans="1:26" ht="13.8" thickBot="1" x14ac:dyDescent="0.3">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row>
    <row r="143" spans="1:26" ht="13.8" thickBot="1" x14ac:dyDescent="0.3">
      <c r="A143" s="416" t="s">
        <v>385</v>
      </c>
      <c r="B143" s="414">
        <f>ROW(A143)</f>
        <v>143</v>
      </c>
      <c r="C143" s="418" t="s">
        <v>116</v>
      </c>
      <c r="D143" s="408">
        <f>SUM(B146:Y146)</f>
        <v>54.110016122119539</v>
      </c>
      <c r="E143" s="418" t="s">
        <v>115</v>
      </c>
      <c r="F143" s="409">
        <f>D143/g/J143</f>
        <v>146.69685764124625</v>
      </c>
      <c r="G143" s="418" t="s">
        <v>57</v>
      </c>
      <c r="H143" s="86">
        <v>0.10580000000000001</v>
      </c>
      <c r="I143" s="418" t="s">
        <v>272</v>
      </c>
      <c r="J143" s="410">
        <f>H143-L143</f>
        <v>3.7600000000000008E-2</v>
      </c>
      <c r="K143" s="418" t="s">
        <v>273</v>
      </c>
      <c r="L143" s="86">
        <v>6.8199999999999997E-2</v>
      </c>
      <c r="M143" s="418" t="s">
        <v>58</v>
      </c>
      <c r="N143" s="87">
        <v>49</v>
      </c>
      <c r="O143" s="418" t="s">
        <v>60</v>
      </c>
      <c r="P143" s="87">
        <v>49</v>
      </c>
      <c r="Q143" s="418" t="s">
        <v>61</v>
      </c>
      <c r="R143" s="87">
        <v>98</v>
      </c>
      <c r="S143" s="418" t="s">
        <v>62</v>
      </c>
      <c r="T143" s="87">
        <v>29</v>
      </c>
      <c r="U143" s="418" t="s">
        <v>55</v>
      </c>
      <c r="V143" s="88" t="s">
        <v>401</v>
      </c>
      <c r="W143" s="547" t="s">
        <v>396</v>
      </c>
      <c r="X143" s="549">
        <v>1.9</v>
      </c>
      <c r="Y143" s="547" t="s">
        <v>395</v>
      </c>
      <c r="Z143" s="413">
        <v>12</v>
      </c>
    </row>
    <row r="144" spans="1:26" x14ac:dyDescent="0.25">
      <c r="A144" s="417" t="s">
        <v>33</v>
      </c>
      <c r="B144" s="441">
        <v>0</v>
      </c>
      <c r="C144" s="442">
        <v>2.5000000000000001E-2</v>
      </c>
      <c r="D144" s="442">
        <v>0.05</v>
      </c>
      <c r="E144" s="442">
        <v>7.4999999999999997E-2</v>
      </c>
      <c r="F144" s="442">
        <v>0.1</v>
      </c>
      <c r="G144" s="442">
        <v>0.15</v>
      </c>
      <c r="H144" s="442">
        <v>0.17499999999999999</v>
      </c>
      <c r="I144" s="442">
        <v>0.2</v>
      </c>
      <c r="J144" s="442">
        <v>0.3</v>
      </c>
      <c r="K144" s="442">
        <v>0.4</v>
      </c>
      <c r="L144" s="442">
        <v>0.5</v>
      </c>
      <c r="M144" s="442">
        <v>0.6</v>
      </c>
      <c r="N144" s="442">
        <v>0.7</v>
      </c>
      <c r="O144" s="442">
        <v>0.8</v>
      </c>
      <c r="P144" s="442">
        <v>0.9</v>
      </c>
      <c r="Q144" s="442">
        <v>1.1000000000000001</v>
      </c>
      <c r="R144" s="442">
        <v>1.2</v>
      </c>
      <c r="S144" s="442">
        <v>1.6</v>
      </c>
      <c r="T144" s="442">
        <v>1.7</v>
      </c>
      <c r="U144" s="442">
        <v>1.8</v>
      </c>
      <c r="V144" s="442">
        <v>1.9</v>
      </c>
      <c r="W144" s="442">
        <v>1.9999</v>
      </c>
      <c r="X144" s="442">
        <v>2</v>
      </c>
      <c r="Y144" s="444">
        <v>1000</v>
      </c>
    </row>
    <row r="145" spans="1:26" x14ac:dyDescent="0.25">
      <c r="A145" s="434" t="s">
        <v>34</v>
      </c>
      <c r="B145" s="443">
        <v>0</v>
      </c>
      <c r="C145" s="431">
        <v>15.2574001848975</v>
      </c>
      <c r="D145" s="431">
        <v>26.377954255522496</v>
      </c>
      <c r="E145" s="431">
        <v>21.484910464447498</v>
      </c>
      <c r="F145" s="431">
        <v>24.020396792549999</v>
      </c>
      <c r="G145" s="431">
        <v>28.11276069054</v>
      </c>
      <c r="H145" s="431">
        <v>28.691029502212498</v>
      </c>
      <c r="I145" s="431">
        <v>29.180333881319996</v>
      </c>
      <c r="J145" s="431">
        <v>31.493409128009997</v>
      </c>
      <c r="K145" s="431">
        <v>32.560982318789996</v>
      </c>
      <c r="L145" s="431">
        <v>32.827875616484995</v>
      </c>
      <c r="M145" s="431">
        <v>32.649946751354996</v>
      </c>
      <c r="N145" s="431">
        <v>32.383053453659997</v>
      </c>
      <c r="O145" s="431">
        <v>32.249606804812501</v>
      </c>
      <c r="P145" s="431">
        <v>31.804784641987499</v>
      </c>
      <c r="Q145" s="431">
        <v>30.559282586077497</v>
      </c>
      <c r="R145" s="431">
        <v>30.069978206969999</v>
      </c>
      <c r="S145" s="431">
        <v>26.377954255522496</v>
      </c>
      <c r="T145" s="431">
        <v>24.865558901917499</v>
      </c>
      <c r="U145" s="431">
        <v>18.4601197572375</v>
      </c>
      <c r="V145" s="431">
        <v>7.5174945517424998</v>
      </c>
      <c r="W145" s="431">
        <v>1.3789487047575</v>
      </c>
      <c r="X145" s="433">
        <v>0</v>
      </c>
      <c r="Y145" s="439">
        <v>0</v>
      </c>
    </row>
    <row r="146" spans="1:26" ht="13.8" thickBot="1" x14ac:dyDescent="0.3">
      <c r="A146" s="435" t="s">
        <v>117</v>
      </c>
      <c r="B146" s="429">
        <f t="shared" ref="B146:V146" si="32">(C145+B145)*(C144-B144)/2</f>
        <v>0.19071750231121876</v>
      </c>
      <c r="C146" s="430">
        <f t="shared" si="32"/>
        <v>0.52044193050525001</v>
      </c>
      <c r="D146" s="430">
        <f t="shared" si="32"/>
        <v>0.5982858089996248</v>
      </c>
      <c r="E146" s="430">
        <f t="shared" si="32"/>
        <v>0.56881634071246889</v>
      </c>
      <c r="F146" s="430">
        <f t="shared" si="32"/>
        <v>1.3033289370772498</v>
      </c>
      <c r="G146" s="430">
        <f t="shared" si="32"/>
        <v>0.71004737740940616</v>
      </c>
      <c r="H146" s="430">
        <f t="shared" si="32"/>
        <v>0.72339204229415688</v>
      </c>
      <c r="I146" s="430">
        <f t="shared" si="32"/>
        <v>3.0336871504664993</v>
      </c>
      <c r="J146" s="430">
        <f>(K145+J145)*(K144-J144)/2</f>
        <v>3.2027195723400008</v>
      </c>
      <c r="K146" s="430">
        <f t="shared" si="32"/>
        <v>3.2694428967637483</v>
      </c>
      <c r="L146" s="430">
        <f t="shared" si="32"/>
        <v>3.2738911183919988</v>
      </c>
      <c r="M146" s="430">
        <f t="shared" si="32"/>
        <v>3.2516500102507484</v>
      </c>
      <c r="N146" s="430">
        <f t="shared" si="32"/>
        <v>3.2316330129236279</v>
      </c>
      <c r="O146" s="430">
        <f t="shared" si="32"/>
        <v>3.202719572339999</v>
      </c>
      <c r="P146" s="430">
        <f t="shared" si="32"/>
        <v>6.2364067228065014</v>
      </c>
      <c r="Q146" s="430">
        <f t="shared" si="32"/>
        <v>3.0314630396523707</v>
      </c>
      <c r="R146" s="430">
        <f t="shared" si="32"/>
        <v>11.289586492498502</v>
      </c>
      <c r="S146" s="430">
        <f>(T145+S145)*(T144-S144)/2</f>
        <v>2.5621756578719963</v>
      </c>
      <c r="T146" s="430">
        <f t="shared" si="32"/>
        <v>2.1662839329577519</v>
      </c>
      <c r="U146" s="430">
        <f t="shared" si="32"/>
        <v>1.2988807154489983</v>
      </c>
      <c r="V146" s="430">
        <f t="shared" si="32"/>
        <v>0.44437734066217544</v>
      </c>
      <c r="W146" s="430">
        <f>(X145+W145)*(X144-W144)/2</f>
        <v>6.894743523786741E-5</v>
      </c>
      <c r="X146" s="430">
        <f>(Y145+X145)*(Y144-X144)/2</f>
        <v>0</v>
      </c>
      <c r="Y146" s="424"/>
    </row>
    <row r="147" spans="1:26" ht="13.8" thickBot="1" x14ac:dyDescent="0.3">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row>
    <row r="148" spans="1:26" ht="13.8" thickBot="1" x14ac:dyDescent="0.3">
      <c r="A148" s="416" t="s">
        <v>547</v>
      </c>
      <c r="B148" s="414">
        <f>ROW(A148)</f>
        <v>148</v>
      </c>
      <c r="C148" s="418" t="s">
        <v>116</v>
      </c>
      <c r="D148" s="408">
        <f>SUM(B151:Y151)</f>
        <v>55.589492</v>
      </c>
      <c r="E148" s="418" t="s">
        <v>115</v>
      </c>
      <c r="F148" s="409">
        <f>D148/g/J148</f>
        <v>177.08171508664634</v>
      </c>
      <c r="G148" s="418" t="s">
        <v>57</v>
      </c>
      <c r="H148" s="86">
        <v>0.10199999999999999</v>
      </c>
      <c r="I148" s="418" t="s">
        <v>272</v>
      </c>
      <c r="J148" s="410">
        <f>H148-L148</f>
        <v>3.1999999999999987E-2</v>
      </c>
      <c r="K148" s="418" t="s">
        <v>273</v>
      </c>
      <c r="L148" s="86">
        <v>7.0000000000000007E-2</v>
      </c>
      <c r="M148" s="418" t="s">
        <v>58</v>
      </c>
      <c r="N148" s="87">
        <v>49</v>
      </c>
      <c r="O148" s="418" t="s">
        <v>60</v>
      </c>
      <c r="P148" s="87">
        <v>49</v>
      </c>
      <c r="Q148" s="418" t="s">
        <v>61</v>
      </c>
      <c r="R148" s="87">
        <v>98</v>
      </c>
      <c r="S148" s="418" t="s">
        <v>62</v>
      </c>
      <c r="T148" s="87">
        <v>29</v>
      </c>
      <c r="U148" s="418" t="s">
        <v>55</v>
      </c>
      <c r="V148" s="88" t="s">
        <v>402</v>
      </c>
      <c r="W148" s="547" t="s">
        <v>396</v>
      </c>
      <c r="X148" s="549">
        <v>0.45</v>
      </c>
      <c r="Y148" s="547" t="s">
        <v>395</v>
      </c>
      <c r="Z148" s="413">
        <v>12</v>
      </c>
    </row>
    <row r="149" spans="1:26" x14ac:dyDescent="0.25">
      <c r="A149" s="417" t="s">
        <v>33</v>
      </c>
      <c r="B149" s="441">
        <v>0</v>
      </c>
      <c r="C149" s="442">
        <v>1E-3</v>
      </c>
      <c r="D149" s="442">
        <v>2.3E-2</v>
      </c>
      <c r="E149" s="442">
        <v>0.05</v>
      </c>
      <c r="F149" s="442">
        <v>5.8999999999999997E-2</v>
      </c>
      <c r="G149" s="442">
        <v>9.5000000000000001E-2</v>
      </c>
      <c r="H149" s="442">
        <v>0.21199999999999999</v>
      </c>
      <c r="I149" s="442">
        <v>0.34399999999999997</v>
      </c>
      <c r="J149" s="442">
        <v>1.5669999999999999</v>
      </c>
      <c r="K149" s="442">
        <v>1.631</v>
      </c>
      <c r="L149" s="442">
        <v>1.663</v>
      </c>
      <c r="M149" s="442">
        <v>1.7849999999999999</v>
      </c>
      <c r="N149" s="442">
        <v>1.8280000000000001</v>
      </c>
      <c r="O149" s="442">
        <v>2</v>
      </c>
      <c r="P149" s="442">
        <v>2</v>
      </c>
      <c r="Q149" s="442">
        <v>2</v>
      </c>
      <c r="R149" s="442">
        <v>2</v>
      </c>
      <c r="S149" s="442">
        <v>2</v>
      </c>
      <c r="T149" s="442">
        <v>2</v>
      </c>
      <c r="U149" s="442">
        <v>2</v>
      </c>
      <c r="V149" s="442">
        <v>2</v>
      </c>
      <c r="W149" s="442">
        <v>2</v>
      </c>
      <c r="X149" s="442">
        <v>2</v>
      </c>
      <c r="Y149" s="444">
        <v>1000</v>
      </c>
    </row>
    <row r="150" spans="1:26" x14ac:dyDescent="0.25">
      <c r="A150" s="434" t="s">
        <v>34</v>
      </c>
      <c r="B150" s="443">
        <v>0</v>
      </c>
      <c r="C150" s="433">
        <v>3.4830000000000001</v>
      </c>
      <c r="D150" s="433">
        <v>64.052999999999997</v>
      </c>
      <c r="E150" s="433">
        <v>31.347000000000001</v>
      </c>
      <c r="F150" s="433">
        <v>28.459</v>
      </c>
      <c r="G150" s="433">
        <v>32.027000000000001</v>
      </c>
      <c r="H150" s="433">
        <v>36.189</v>
      </c>
      <c r="I150" s="433">
        <v>37.548999999999999</v>
      </c>
      <c r="J150" s="433">
        <v>26.164999999999999</v>
      </c>
      <c r="K150" s="433">
        <v>26.93</v>
      </c>
      <c r="L150" s="433">
        <v>25.315999999999999</v>
      </c>
      <c r="M150" s="433">
        <v>3.653</v>
      </c>
      <c r="N150" s="433">
        <v>0</v>
      </c>
      <c r="O150" s="433">
        <v>0</v>
      </c>
      <c r="P150" s="433">
        <v>0</v>
      </c>
      <c r="Q150" s="433">
        <v>0</v>
      </c>
      <c r="R150" s="433">
        <v>0</v>
      </c>
      <c r="S150" s="433">
        <v>0</v>
      </c>
      <c r="T150" s="433">
        <v>0</v>
      </c>
      <c r="U150" s="433">
        <v>0</v>
      </c>
      <c r="V150" s="433">
        <v>0</v>
      </c>
      <c r="W150" s="433">
        <v>0</v>
      </c>
      <c r="X150" s="433">
        <v>0</v>
      </c>
      <c r="Y150" s="439">
        <v>0</v>
      </c>
    </row>
    <row r="151" spans="1:26" ht="13.8" thickBot="1" x14ac:dyDescent="0.3">
      <c r="A151" s="435" t="s">
        <v>117</v>
      </c>
      <c r="B151" s="429">
        <f t="shared" ref="B151" si="33">(C150+B150)*(C149-B149)/2</f>
        <v>1.7415E-3</v>
      </c>
      <c r="C151" s="430">
        <f t="shared" ref="C151" si="34">(D150+C150)*(D149-C149)/2</f>
        <v>0.742896</v>
      </c>
      <c r="D151" s="430">
        <f t="shared" ref="D151" si="35">(E150+D150)*(E149-D149)/2</f>
        <v>1.2879000000000003</v>
      </c>
      <c r="E151" s="430">
        <f t="shared" ref="E151" si="36">(F150+E150)*(F149-E149)/2</f>
        <v>0.26912699999999984</v>
      </c>
      <c r="F151" s="430">
        <f t="shared" ref="F151" si="37">(G150+F150)*(G149-F149)/2</f>
        <v>1.0887480000000003</v>
      </c>
      <c r="G151" s="430">
        <f t="shared" ref="G151" si="38">(H150+G150)*(H149-G149)/2</f>
        <v>3.9906360000000003</v>
      </c>
      <c r="H151" s="430">
        <f t="shared" ref="H151" si="39">(I150+H150)*(I149-H149)/2</f>
        <v>4.8667079999999991</v>
      </c>
      <c r="I151" s="430">
        <f t="shared" ref="I151" si="40">(J150+I150)*(J149-I149)/2</f>
        <v>38.961110999999995</v>
      </c>
      <c r="J151" s="430">
        <f t="shared" ref="J151" si="41">(K150+J150)*(K149-J149)/2</f>
        <v>1.6990400000000014</v>
      </c>
      <c r="K151" s="430">
        <f t="shared" ref="K151" si="42">(L150+K150)*(L149-K149)/2</f>
        <v>0.83593600000000068</v>
      </c>
      <c r="L151" s="430">
        <f t="shared" ref="L151" si="43">(M150+L150)*(M149-L149)/2</f>
        <v>1.7671089999999983</v>
      </c>
      <c r="M151" s="430">
        <f t="shared" ref="M151" si="44">(N150+M150)*(N149-M149)/2</f>
        <v>7.8539500000000276E-2</v>
      </c>
      <c r="N151" s="430">
        <f t="shared" ref="N151" si="45">(O150+N150)*(O149-N149)/2</f>
        <v>0</v>
      </c>
      <c r="O151" s="430">
        <f t="shared" ref="O151" si="46">(P150+O150)*(P149-O149)/2</f>
        <v>0</v>
      </c>
      <c r="P151" s="430">
        <f t="shared" ref="P151" si="47">(Q150+P150)*(Q149-P149)/2</f>
        <v>0</v>
      </c>
      <c r="Q151" s="430">
        <f t="shared" ref="Q151" si="48">(R150+Q150)*(R149-Q149)/2</f>
        <v>0</v>
      </c>
      <c r="R151" s="430">
        <f t="shared" ref="R151" si="49">(S150+R150)*(S149-R149)/2</f>
        <v>0</v>
      </c>
      <c r="S151" s="430">
        <f t="shared" ref="S151" si="50">(T150+S150)*(T149-S149)/2</f>
        <v>0</v>
      </c>
      <c r="T151" s="430">
        <f t="shared" ref="T151" si="51">(U150+T150)*(U149-T149)/2</f>
        <v>0</v>
      </c>
      <c r="U151" s="430">
        <f t="shared" ref="U151" si="52">(V150+U150)*(V149-U149)/2</f>
        <v>0</v>
      </c>
      <c r="V151" s="430">
        <f t="shared" ref="V151" si="53">(W150+V150)*(W149-V149)/2</f>
        <v>0</v>
      </c>
      <c r="W151" s="430">
        <f t="shared" ref="W151" si="54">(X150+W150)*(X149-W149)/2</f>
        <v>0</v>
      </c>
      <c r="X151" s="430">
        <f t="shared" ref="X151" si="55">(Y150+X150)*(Y149-X149)/2</f>
        <v>0</v>
      </c>
      <c r="Y151" s="424"/>
    </row>
    <row r="152" spans="1:26" ht="13.8" thickBot="1" x14ac:dyDescent="0.3">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row>
    <row r="153" spans="1:26" ht="13.8" thickBot="1" x14ac:dyDescent="0.3">
      <c r="A153" s="416" t="s">
        <v>386</v>
      </c>
      <c r="B153" s="414">
        <f>ROW(A153)</f>
        <v>153</v>
      </c>
      <c r="C153" s="418" t="s">
        <v>116</v>
      </c>
      <c r="D153" s="408">
        <f>SUM(B156:Y156)</f>
        <v>55.705884500000003</v>
      </c>
      <c r="E153" s="418" t="s">
        <v>115</v>
      </c>
      <c r="F153" s="409">
        <f>D153/g/J153</f>
        <v>180.84329814241278</v>
      </c>
      <c r="G153" s="418" t="s">
        <v>57</v>
      </c>
      <c r="H153" s="86">
        <v>0.1062</v>
      </c>
      <c r="I153" s="418" t="s">
        <v>272</v>
      </c>
      <c r="J153" s="410">
        <f>H153-L153</f>
        <v>3.1400000000000011E-2</v>
      </c>
      <c r="K153" s="418" t="s">
        <v>273</v>
      </c>
      <c r="L153" s="86">
        <v>7.4799999999999991E-2</v>
      </c>
      <c r="M153" s="418" t="s">
        <v>58</v>
      </c>
      <c r="N153" s="87">
        <v>49</v>
      </c>
      <c r="O153" s="418" t="s">
        <v>60</v>
      </c>
      <c r="P153" s="87">
        <v>49</v>
      </c>
      <c r="Q153" s="418" t="s">
        <v>61</v>
      </c>
      <c r="R153" s="87">
        <v>98</v>
      </c>
      <c r="S153" s="418" t="s">
        <v>62</v>
      </c>
      <c r="T153" s="87">
        <v>29</v>
      </c>
      <c r="U153" s="418" t="s">
        <v>55</v>
      </c>
      <c r="V153" s="88" t="s">
        <v>402</v>
      </c>
      <c r="W153" s="547" t="s">
        <v>396</v>
      </c>
      <c r="X153" s="549">
        <v>0.45</v>
      </c>
      <c r="Y153" s="547" t="s">
        <v>395</v>
      </c>
      <c r="Z153" s="413">
        <v>14</v>
      </c>
    </row>
    <row r="154" spans="1:26" x14ac:dyDescent="0.25">
      <c r="A154" s="417" t="s">
        <v>33</v>
      </c>
      <c r="B154" s="441">
        <v>0</v>
      </c>
      <c r="C154" s="442">
        <v>1.2999999999999999E-2</v>
      </c>
      <c r="D154" s="442">
        <v>1.7000000000000001E-2</v>
      </c>
      <c r="E154" s="442">
        <v>0.04</v>
      </c>
      <c r="F154" s="442">
        <v>0.125</v>
      </c>
      <c r="G154" s="442">
        <v>0.17899999999999999</v>
      </c>
      <c r="H154" s="442">
        <v>0.222</v>
      </c>
      <c r="I154" s="442">
        <v>0.28899999999999998</v>
      </c>
      <c r="J154" s="442">
        <v>0.35399999999999998</v>
      </c>
      <c r="K154" s="442">
        <v>0.39400000000000002</v>
      </c>
      <c r="L154" s="442">
        <v>0.40600000000000003</v>
      </c>
      <c r="M154" s="442">
        <v>0.41599999999999998</v>
      </c>
      <c r="N154" s="442">
        <v>0.42299999999999999</v>
      </c>
      <c r="O154" s="442">
        <v>0.43099999999999999</v>
      </c>
      <c r="P154" s="442">
        <v>0.44700000000000001</v>
      </c>
      <c r="Q154" s="442">
        <v>0.45300000000000001</v>
      </c>
      <c r="R154" s="442">
        <v>0.45500000000000002</v>
      </c>
      <c r="S154" s="442">
        <v>0.45500000000000002</v>
      </c>
      <c r="T154" s="442">
        <v>0.45500000000000002</v>
      </c>
      <c r="U154" s="442">
        <v>0.45500000000000002</v>
      </c>
      <c r="V154" s="442">
        <v>0.45500000000000002</v>
      </c>
      <c r="W154" s="442">
        <v>0.45500000000000002</v>
      </c>
      <c r="X154" s="442">
        <v>2</v>
      </c>
      <c r="Y154" s="444">
        <v>1000</v>
      </c>
    </row>
    <row r="155" spans="1:26" x14ac:dyDescent="0.25">
      <c r="A155" s="434" t="s">
        <v>34</v>
      </c>
      <c r="B155" s="443">
        <v>0</v>
      </c>
      <c r="C155" s="433">
        <v>79.242000000000004</v>
      </c>
      <c r="D155" s="433">
        <v>90.427000000000007</v>
      </c>
      <c r="E155" s="433">
        <v>101.422</v>
      </c>
      <c r="F155" s="433">
        <v>127.583</v>
      </c>
      <c r="G155" s="433">
        <v>136.114</v>
      </c>
      <c r="H155" s="433">
        <v>139.905</v>
      </c>
      <c r="I155" s="433">
        <v>143.50700000000001</v>
      </c>
      <c r="J155" s="433">
        <v>138.578</v>
      </c>
      <c r="K155" s="433">
        <v>125.498</v>
      </c>
      <c r="L155" s="433">
        <v>123.602</v>
      </c>
      <c r="M155" s="433">
        <v>125.11799999999999</v>
      </c>
      <c r="N155" s="433">
        <v>130.047</v>
      </c>
      <c r="O155" s="433">
        <v>120.569</v>
      </c>
      <c r="P155" s="433">
        <v>25.591999999999999</v>
      </c>
      <c r="Q155" s="433">
        <v>8.7200000000000006</v>
      </c>
      <c r="R155" s="433">
        <v>0</v>
      </c>
      <c r="S155" s="433">
        <v>0</v>
      </c>
      <c r="T155" s="433">
        <v>0</v>
      </c>
      <c r="U155" s="433">
        <v>0</v>
      </c>
      <c r="V155" s="433">
        <v>0</v>
      </c>
      <c r="W155" s="433">
        <v>0</v>
      </c>
      <c r="X155" s="433">
        <v>0</v>
      </c>
      <c r="Y155" s="439">
        <v>0</v>
      </c>
    </row>
    <row r="156" spans="1:26" ht="13.8" thickBot="1" x14ac:dyDescent="0.3">
      <c r="A156" s="435" t="s">
        <v>117</v>
      </c>
      <c r="B156" s="429">
        <f t="shared" ref="B156:X156" si="56">(C155+B155)*(C154-B154)/2</f>
        <v>0.515073</v>
      </c>
      <c r="C156" s="430">
        <f t="shared" si="56"/>
        <v>0.3393380000000002</v>
      </c>
      <c r="D156" s="430">
        <f t="shared" si="56"/>
        <v>2.2062634999999999</v>
      </c>
      <c r="E156" s="430">
        <f t="shared" si="56"/>
        <v>9.7327124999999981</v>
      </c>
      <c r="F156" s="430">
        <f t="shared" si="56"/>
        <v>7.1198189999999988</v>
      </c>
      <c r="G156" s="430">
        <f t="shared" si="56"/>
        <v>5.9344085000000018</v>
      </c>
      <c r="H156" s="430">
        <f t="shared" si="56"/>
        <v>9.4943019999999976</v>
      </c>
      <c r="I156" s="430">
        <f t="shared" si="56"/>
        <v>9.167762500000002</v>
      </c>
      <c r="J156" s="430">
        <f t="shared" si="56"/>
        <v>5.2815200000000049</v>
      </c>
      <c r="K156" s="430">
        <f t="shared" si="56"/>
        <v>1.4946000000000015</v>
      </c>
      <c r="L156" s="430">
        <f t="shared" si="56"/>
        <v>1.2435999999999943</v>
      </c>
      <c r="M156" s="430">
        <f t="shared" si="56"/>
        <v>0.89307750000000075</v>
      </c>
      <c r="N156" s="430">
        <f t="shared" si="56"/>
        <v>1.0024640000000009</v>
      </c>
      <c r="O156" s="430">
        <f t="shared" si="56"/>
        <v>1.169288000000001</v>
      </c>
      <c r="P156" s="430">
        <f t="shared" si="56"/>
        <v>0.10293600000000008</v>
      </c>
      <c r="Q156" s="430">
        <f t="shared" si="56"/>
        <v>8.720000000000009E-3</v>
      </c>
      <c r="R156" s="430">
        <f t="shared" si="56"/>
        <v>0</v>
      </c>
      <c r="S156" s="430">
        <f t="shared" si="56"/>
        <v>0</v>
      </c>
      <c r="T156" s="430">
        <f t="shared" si="56"/>
        <v>0</v>
      </c>
      <c r="U156" s="430">
        <f t="shared" si="56"/>
        <v>0</v>
      </c>
      <c r="V156" s="430">
        <f t="shared" si="56"/>
        <v>0</v>
      </c>
      <c r="W156" s="430">
        <f t="shared" si="56"/>
        <v>0</v>
      </c>
      <c r="X156" s="430">
        <f t="shared" si="56"/>
        <v>0</v>
      </c>
      <c r="Y156" s="424"/>
    </row>
    <row r="157" spans="1:26" ht="13.8" thickBot="1" x14ac:dyDescent="0.3">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row>
    <row r="158" spans="1:26" ht="13.8" thickBot="1" x14ac:dyDescent="0.3">
      <c r="A158" s="416" t="s">
        <v>387</v>
      </c>
      <c r="B158" s="414">
        <f>ROW(A158)</f>
        <v>158</v>
      </c>
      <c r="C158" s="418" t="s">
        <v>116</v>
      </c>
      <c r="D158" s="408">
        <f>SUM(B161:Y161)</f>
        <v>57.190000000000005</v>
      </c>
      <c r="E158" s="418" t="s">
        <v>115</v>
      </c>
      <c r="F158" s="409">
        <f>D158/g/J158</f>
        <v>188.05695307618953</v>
      </c>
      <c r="G158" s="418" t="s">
        <v>57</v>
      </c>
      <c r="H158" s="86">
        <v>9.9000000000000005E-2</v>
      </c>
      <c r="I158" s="418" t="s">
        <v>272</v>
      </c>
      <c r="J158" s="410">
        <f>H158-L158</f>
        <v>3.1E-2</v>
      </c>
      <c r="K158" s="418" t="s">
        <v>273</v>
      </c>
      <c r="L158" s="86">
        <v>6.8000000000000005E-2</v>
      </c>
      <c r="M158" s="418" t="s">
        <v>58</v>
      </c>
      <c r="N158" s="87">
        <v>49</v>
      </c>
      <c r="O158" s="418" t="s">
        <v>60</v>
      </c>
      <c r="P158" s="87">
        <v>49</v>
      </c>
      <c r="Q158" s="418" t="s">
        <v>61</v>
      </c>
      <c r="R158" s="87">
        <v>98</v>
      </c>
      <c r="S158" s="418" t="s">
        <v>62</v>
      </c>
      <c r="T158" s="87">
        <v>29</v>
      </c>
      <c r="U158" s="418" t="s">
        <v>55</v>
      </c>
      <c r="V158" s="88" t="s">
        <v>402</v>
      </c>
      <c r="W158" s="547" t="s">
        <v>396</v>
      </c>
      <c r="X158" s="549">
        <v>0.96</v>
      </c>
      <c r="Y158" s="547" t="s">
        <v>395</v>
      </c>
      <c r="Z158" s="413">
        <v>12</v>
      </c>
    </row>
    <row r="159" spans="1:26" x14ac:dyDescent="0.25">
      <c r="A159" s="417" t="s">
        <v>33</v>
      </c>
      <c r="B159" s="441">
        <v>0</v>
      </c>
      <c r="C159" s="442">
        <v>0.01</v>
      </c>
      <c r="D159" s="442">
        <v>0.02</v>
      </c>
      <c r="E159" s="442">
        <v>0.03</v>
      </c>
      <c r="F159" s="442">
        <v>0.04</v>
      </c>
      <c r="G159" s="442">
        <v>7.0000000000000007E-2</v>
      </c>
      <c r="H159" s="442">
        <v>0.1</v>
      </c>
      <c r="I159" s="442">
        <v>0.2</v>
      </c>
      <c r="J159" s="442">
        <v>0.3</v>
      </c>
      <c r="K159" s="442">
        <v>0.4</v>
      </c>
      <c r="L159" s="442">
        <v>0.5</v>
      </c>
      <c r="M159" s="442">
        <v>0.6</v>
      </c>
      <c r="N159" s="442">
        <v>0.7</v>
      </c>
      <c r="O159" s="442">
        <v>0.87</v>
      </c>
      <c r="P159" s="442">
        <v>0.9</v>
      </c>
      <c r="Q159" s="442">
        <v>0.97</v>
      </c>
      <c r="R159" s="442">
        <v>0.97</v>
      </c>
      <c r="S159" s="442">
        <v>0.97</v>
      </c>
      <c r="T159" s="442">
        <v>0.97</v>
      </c>
      <c r="U159" s="442">
        <v>0.97</v>
      </c>
      <c r="V159" s="442">
        <v>0.97</v>
      </c>
      <c r="W159" s="442">
        <v>0.97</v>
      </c>
      <c r="X159" s="442">
        <v>2</v>
      </c>
      <c r="Y159" s="444">
        <v>1000</v>
      </c>
    </row>
    <row r="160" spans="1:26" x14ac:dyDescent="0.25">
      <c r="A160" s="434" t="s">
        <v>34</v>
      </c>
      <c r="B160" s="443">
        <v>0</v>
      </c>
      <c r="C160" s="433">
        <v>16</v>
      </c>
      <c r="D160" s="433">
        <v>62</v>
      </c>
      <c r="E160" s="433">
        <v>67</v>
      </c>
      <c r="F160" s="433">
        <v>71</v>
      </c>
      <c r="G160" s="433">
        <v>58</v>
      </c>
      <c r="H160" s="433">
        <v>63</v>
      </c>
      <c r="I160" s="433">
        <v>67</v>
      </c>
      <c r="J160" s="433">
        <v>69</v>
      </c>
      <c r="K160" s="433">
        <v>67</v>
      </c>
      <c r="L160" s="433">
        <v>65</v>
      </c>
      <c r="M160" s="433">
        <v>63</v>
      </c>
      <c r="N160" s="433">
        <v>61</v>
      </c>
      <c r="O160" s="433">
        <v>60</v>
      </c>
      <c r="P160" s="433">
        <v>23</v>
      </c>
      <c r="Q160" s="433">
        <v>0</v>
      </c>
      <c r="R160" s="433">
        <v>0</v>
      </c>
      <c r="S160" s="433">
        <v>0</v>
      </c>
      <c r="T160" s="433">
        <v>0</v>
      </c>
      <c r="U160" s="433">
        <v>0</v>
      </c>
      <c r="V160" s="433">
        <v>0</v>
      </c>
      <c r="W160" s="433">
        <v>0</v>
      </c>
      <c r="X160" s="433">
        <v>0</v>
      </c>
      <c r="Y160" s="439">
        <v>0</v>
      </c>
    </row>
    <row r="161" spans="1:26" ht="13.8" thickBot="1" x14ac:dyDescent="0.3">
      <c r="A161" s="435" t="s">
        <v>117</v>
      </c>
      <c r="B161" s="429">
        <f t="shared" ref="B161:X161" si="57">(C160+B160)*(C159-B159)/2</f>
        <v>0.08</v>
      </c>
      <c r="C161" s="430">
        <f t="shared" si="57"/>
        <v>0.39</v>
      </c>
      <c r="D161" s="430">
        <f t="shared" si="57"/>
        <v>0.64499999999999991</v>
      </c>
      <c r="E161" s="430">
        <f t="shared" si="57"/>
        <v>0.69000000000000017</v>
      </c>
      <c r="F161" s="430">
        <f t="shared" si="57"/>
        <v>1.9350000000000003</v>
      </c>
      <c r="G161" s="430">
        <f t="shared" si="57"/>
        <v>1.8149999999999999</v>
      </c>
      <c r="H161" s="430">
        <f t="shared" si="57"/>
        <v>6.5</v>
      </c>
      <c r="I161" s="430">
        <f t="shared" si="57"/>
        <v>6.7999999999999989</v>
      </c>
      <c r="J161" s="430">
        <f t="shared" si="57"/>
        <v>6.8000000000000025</v>
      </c>
      <c r="K161" s="430">
        <f t="shared" si="57"/>
        <v>6.5999999999999988</v>
      </c>
      <c r="L161" s="430">
        <f t="shared" si="57"/>
        <v>6.3999999999999986</v>
      </c>
      <c r="M161" s="430">
        <f t="shared" si="57"/>
        <v>6.1999999999999984</v>
      </c>
      <c r="N161" s="430">
        <f t="shared" si="57"/>
        <v>10.285000000000002</v>
      </c>
      <c r="O161" s="430">
        <f t="shared" si="57"/>
        <v>1.245000000000001</v>
      </c>
      <c r="P161" s="430">
        <f t="shared" si="57"/>
        <v>0.80499999999999949</v>
      </c>
      <c r="Q161" s="430">
        <f t="shared" si="57"/>
        <v>0</v>
      </c>
      <c r="R161" s="430">
        <f t="shared" si="57"/>
        <v>0</v>
      </c>
      <c r="S161" s="430">
        <f t="shared" si="57"/>
        <v>0</v>
      </c>
      <c r="T161" s="430">
        <f t="shared" si="57"/>
        <v>0</v>
      </c>
      <c r="U161" s="430">
        <f t="shared" si="57"/>
        <v>0</v>
      </c>
      <c r="V161" s="430">
        <f t="shared" si="57"/>
        <v>0</v>
      </c>
      <c r="W161" s="430">
        <f t="shared" si="57"/>
        <v>0</v>
      </c>
      <c r="X161" s="430">
        <f t="shared" si="57"/>
        <v>0</v>
      </c>
      <c r="Y161" s="424"/>
    </row>
    <row r="162" spans="1:26" ht="13.8" thickBot="1" x14ac:dyDescent="0.3">
      <c r="A162" s="492" t="s">
        <v>316</v>
      </c>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row>
    <row r="163" spans="1:26" ht="13.8" thickBot="1" x14ac:dyDescent="0.3">
      <c r="A163" s="416" t="s">
        <v>323</v>
      </c>
      <c r="B163" s="414">
        <f>ROW(A163)</f>
        <v>163</v>
      </c>
      <c r="C163" s="418" t="s">
        <v>116</v>
      </c>
      <c r="D163" s="408">
        <f>SUM(B166:Y166)</f>
        <v>59.702267000000006</v>
      </c>
      <c r="E163" s="418" t="s">
        <v>115</v>
      </c>
      <c r="F163" s="409">
        <f>D163/g/J163</f>
        <v>190.77924771281306</v>
      </c>
      <c r="G163" s="418" t="s">
        <v>57</v>
      </c>
      <c r="H163" s="86">
        <v>9.3899999999999997E-2</v>
      </c>
      <c r="I163" s="418" t="s">
        <v>272</v>
      </c>
      <c r="J163" s="410">
        <f>H163-L163</f>
        <v>3.1899999999999998E-2</v>
      </c>
      <c r="K163" s="418" t="s">
        <v>273</v>
      </c>
      <c r="L163" s="86">
        <f>0.095-0.033</f>
        <v>6.2E-2</v>
      </c>
      <c r="M163" s="418" t="s">
        <v>58</v>
      </c>
      <c r="N163" s="457">
        <v>66.5</v>
      </c>
      <c r="O163" s="418" t="s">
        <v>60</v>
      </c>
      <c r="P163" s="457">
        <v>66.5</v>
      </c>
      <c r="Q163" s="418" t="s">
        <v>61</v>
      </c>
      <c r="R163" s="87">
        <v>133</v>
      </c>
      <c r="S163" s="418" t="s">
        <v>62</v>
      </c>
      <c r="T163" s="87">
        <v>24</v>
      </c>
      <c r="U163" s="418" t="s">
        <v>55</v>
      </c>
      <c r="V163" s="88" t="s">
        <v>401</v>
      </c>
      <c r="W163" s="547" t="s">
        <v>396</v>
      </c>
      <c r="X163" s="549">
        <v>1.2</v>
      </c>
      <c r="Y163" s="547" t="s">
        <v>395</v>
      </c>
      <c r="Z163" s="413">
        <v>13</v>
      </c>
    </row>
    <row r="164" spans="1:26" x14ac:dyDescent="0.25">
      <c r="A164" s="417" t="s">
        <v>33</v>
      </c>
      <c r="B164" s="425">
        <v>0</v>
      </c>
      <c r="C164" s="426">
        <v>1.4999999999999999E-2</v>
      </c>
      <c r="D164" s="426">
        <v>2.1999999999999999E-2</v>
      </c>
      <c r="E164" s="426">
        <v>6.4000000000000001E-2</v>
      </c>
      <c r="F164" s="426">
        <v>0.11799999999999999</v>
      </c>
      <c r="G164" s="426">
        <v>0.34200000000000003</v>
      </c>
      <c r="H164" s="426">
        <v>0.53600000000000003</v>
      </c>
      <c r="I164" s="426">
        <v>0.74299999999999999</v>
      </c>
      <c r="J164" s="426">
        <v>0.88400000000000001</v>
      </c>
      <c r="K164" s="426">
        <v>0.97599999999999998</v>
      </c>
      <c r="L164" s="426">
        <v>1.0960000000000001</v>
      </c>
      <c r="M164" s="426">
        <v>1.246</v>
      </c>
      <c r="N164" s="426">
        <v>1.298</v>
      </c>
      <c r="O164" s="442">
        <v>2</v>
      </c>
      <c r="P164" s="442">
        <v>2</v>
      </c>
      <c r="Q164" s="442">
        <v>2</v>
      </c>
      <c r="R164" s="442">
        <v>2</v>
      </c>
      <c r="S164" s="442">
        <v>2</v>
      </c>
      <c r="T164" s="442">
        <v>2</v>
      </c>
      <c r="U164" s="442">
        <v>2</v>
      </c>
      <c r="V164" s="442">
        <v>2</v>
      </c>
      <c r="W164" s="442">
        <v>2</v>
      </c>
      <c r="X164" s="442">
        <f t="shared" ref="T164:X165" si="58">W164</f>
        <v>2</v>
      </c>
      <c r="Y164" s="444">
        <v>1000</v>
      </c>
    </row>
    <row r="165" spans="1:26" x14ac:dyDescent="0.25">
      <c r="A165" s="434" t="s">
        <v>34</v>
      </c>
      <c r="B165" s="427">
        <v>0</v>
      </c>
      <c r="C165" s="428">
        <v>64.981999999999999</v>
      </c>
      <c r="D165" s="428">
        <v>69.516000000000005</v>
      </c>
      <c r="E165" s="428">
        <v>55.536999999999999</v>
      </c>
      <c r="F165" s="428">
        <v>62.81</v>
      </c>
      <c r="G165" s="428">
        <v>62.149000000000001</v>
      </c>
      <c r="H165" s="428">
        <v>59.41</v>
      </c>
      <c r="I165" s="428">
        <v>53.837000000000003</v>
      </c>
      <c r="J165" s="428">
        <v>46.942</v>
      </c>
      <c r="K165" s="428">
        <v>40.046999999999997</v>
      </c>
      <c r="L165" s="428">
        <v>12.561999999999999</v>
      </c>
      <c r="M165" s="428">
        <v>2.0779999999999998</v>
      </c>
      <c r="N165" s="428">
        <v>0</v>
      </c>
      <c r="O165" s="433">
        <v>0</v>
      </c>
      <c r="P165" s="433">
        <v>0</v>
      </c>
      <c r="Q165" s="433">
        <v>0</v>
      </c>
      <c r="R165" s="433">
        <v>0</v>
      </c>
      <c r="S165" s="433">
        <v>0</v>
      </c>
      <c r="T165" s="433">
        <f t="shared" si="58"/>
        <v>0</v>
      </c>
      <c r="U165" s="433">
        <f t="shared" si="58"/>
        <v>0</v>
      </c>
      <c r="V165" s="433">
        <f t="shared" si="58"/>
        <v>0</v>
      </c>
      <c r="W165" s="433">
        <f t="shared" si="58"/>
        <v>0</v>
      </c>
      <c r="X165" s="433">
        <f t="shared" si="58"/>
        <v>0</v>
      </c>
      <c r="Y165" s="439">
        <v>0</v>
      </c>
    </row>
    <row r="166" spans="1:26" ht="13.8" thickBot="1" x14ac:dyDescent="0.3">
      <c r="A166" s="435" t="s">
        <v>117</v>
      </c>
      <c r="B166" s="429">
        <f t="shared" ref="B166:V166" si="59">(C165+B165)*(C164-B164)/2</f>
        <v>0.48736499999999999</v>
      </c>
      <c r="C166" s="430">
        <f t="shared" si="59"/>
        <v>0.47074299999999991</v>
      </c>
      <c r="D166" s="430">
        <f t="shared" si="59"/>
        <v>2.6261130000000001</v>
      </c>
      <c r="E166" s="430">
        <f t="shared" si="59"/>
        <v>3.1953689999999999</v>
      </c>
      <c r="F166" s="430">
        <f t="shared" si="59"/>
        <v>13.995408000000003</v>
      </c>
      <c r="G166" s="430">
        <f t="shared" si="59"/>
        <v>11.791223</v>
      </c>
      <c r="H166" s="430">
        <f t="shared" si="59"/>
        <v>11.721064499999997</v>
      </c>
      <c r="I166" s="430">
        <f t="shared" si="59"/>
        <v>7.1049195000000003</v>
      </c>
      <c r="J166" s="430">
        <f>(K165+J165)*(K164-J164)/2</f>
        <v>4.0014939999999992</v>
      </c>
      <c r="K166" s="430">
        <f t="shared" si="59"/>
        <v>3.1565400000000023</v>
      </c>
      <c r="L166" s="430">
        <f t="shared" si="59"/>
        <v>1.0979999999999992</v>
      </c>
      <c r="M166" s="430">
        <f t="shared" si="59"/>
        <v>5.4028000000000041E-2</v>
      </c>
      <c r="N166" s="430">
        <f t="shared" si="59"/>
        <v>0</v>
      </c>
      <c r="O166" s="430">
        <f t="shared" si="59"/>
        <v>0</v>
      </c>
      <c r="P166" s="430">
        <f t="shared" si="59"/>
        <v>0</v>
      </c>
      <c r="Q166" s="430">
        <f t="shared" si="59"/>
        <v>0</v>
      </c>
      <c r="R166" s="430">
        <f t="shared" si="59"/>
        <v>0</v>
      </c>
      <c r="S166" s="430">
        <f>(T165+S165)*(T164-S164)/2</f>
        <v>0</v>
      </c>
      <c r="T166" s="430">
        <f t="shared" si="59"/>
        <v>0</v>
      </c>
      <c r="U166" s="430">
        <f t="shared" si="59"/>
        <v>0</v>
      </c>
      <c r="V166" s="430">
        <f t="shared" si="59"/>
        <v>0</v>
      </c>
      <c r="W166" s="430">
        <f>(X165+W165)*(X164-W164)/2</f>
        <v>0</v>
      </c>
      <c r="X166" s="430">
        <f>(Y165+X165)*(Y164-X164)/2</f>
        <v>0</v>
      </c>
      <c r="Y166" s="424"/>
    </row>
    <row r="167" spans="1:26" ht="13.8" thickBot="1" x14ac:dyDescent="0.3"/>
    <row r="168" spans="1:26" ht="13.8" thickBot="1" x14ac:dyDescent="0.3">
      <c r="A168" s="416" t="s">
        <v>324</v>
      </c>
      <c r="B168" s="414">
        <f>ROW(A168)</f>
        <v>168</v>
      </c>
      <c r="C168" s="418" t="s">
        <v>116</v>
      </c>
      <c r="D168" s="408">
        <f>SUM(B171:Y171)</f>
        <v>68.380602999999994</v>
      </c>
      <c r="E168" s="418" t="s">
        <v>115</v>
      </c>
      <c r="F168" s="409">
        <f>D168/g/J168</f>
        <v>134.04807300243078</v>
      </c>
      <c r="G168" s="418" t="s">
        <v>57</v>
      </c>
      <c r="H168" s="86">
        <v>0.1075</v>
      </c>
      <c r="I168" s="418" t="s">
        <v>272</v>
      </c>
      <c r="J168" s="410">
        <f>H168-L168</f>
        <v>5.1999999999999998E-2</v>
      </c>
      <c r="K168" s="418" t="s">
        <v>273</v>
      </c>
      <c r="L168" s="86">
        <v>5.5500000000000001E-2</v>
      </c>
      <c r="M168" s="418" t="s">
        <v>58</v>
      </c>
      <c r="N168" s="457">
        <v>66.5</v>
      </c>
      <c r="O168" s="418" t="s">
        <v>60</v>
      </c>
      <c r="P168" s="457">
        <v>66.5</v>
      </c>
      <c r="Q168" s="418" t="s">
        <v>61</v>
      </c>
      <c r="R168" s="87">
        <v>133</v>
      </c>
      <c r="S168" s="418" t="s">
        <v>62</v>
      </c>
      <c r="T168" s="87">
        <v>24</v>
      </c>
      <c r="U168" s="418" t="s">
        <v>55</v>
      </c>
      <c r="V168" s="88" t="s">
        <v>401</v>
      </c>
      <c r="W168" s="547" t="s">
        <v>396</v>
      </c>
      <c r="X168" s="549">
        <v>0.86</v>
      </c>
      <c r="Y168" s="547" t="s">
        <v>395</v>
      </c>
      <c r="Z168" s="413">
        <v>13</v>
      </c>
    </row>
    <row r="169" spans="1:26" x14ac:dyDescent="0.25">
      <c r="A169" s="417" t="s">
        <v>33</v>
      </c>
      <c r="B169" s="441">
        <v>0</v>
      </c>
      <c r="C169" s="442">
        <v>5.0000000000000001E-3</v>
      </c>
      <c r="D169" s="442">
        <v>1.2999999999999999E-2</v>
      </c>
      <c r="E169" s="442">
        <v>2.1999999999999999E-2</v>
      </c>
      <c r="F169" s="442">
        <v>4.2999999999999997E-2</v>
      </c>
      <c r="G169" s="442">
        <v>0.11899999999999999</v>
      </c>
      <c r="H169" s="442">
        <v>0.19800000000000001</v>
      </c>
      <c r="I169" s="442">
        <v>0.26700000000000002</v>
      </c>
      <c r="J169" s="442">
        <v>0.34300000000000003</v>
      </c>
      <c r="K169" s="442">
        <v>0.40400000000000003</v>
      </c>
      <c r="L169" s="442">
        <v>0.498</v>
      </c>
      <c r="M169" s="442">
        <v>0.55500000000000005</v>
      </c>
      <c r="N169" s="442">
        <v>0.622</v>
      </c>
      <c r="O169" s="442">
        <v>0.66300000000000003</v>
      </c>
      <c r="P169" s="442">
        <v>0.70399999999999996</v>
      </c>
      <c r="Q169" s="442">
        <v>0.72899999999999998</v>
      </c>
      <c r="R169" s="442">
        <v>0.747</v>
      </c>
      <c r="S169" s="442">
        <v>0.76800000000000002</v>
      </c>
      <c r="T169" s="442">
        <v>0.82099999999999995</v>
      </c>
      <c r="U169" s="442">
        <v>0.85199999999999998</v>
      </c>
      <c r="V169" s="442">
        <v>0.89200000000000002</v>
      </c>
      <c r="W169" s="442">
        <v>1</v>
      </c>
      <c r="X169" s="442">
        <v>2</v>
      </c>
      <c r="Y169" s="444">
        <v>1000</v>
      </c>
    </row>
    <row r="170" spans="1:26" x14ac:dyDescent="0.25">
      <c r="A170" s="434" t="s">
        <v>34</v>
      </c>
      <c r="B170" s="443">
        <v>0</v>
      </c>
      <c r="C170" s="433">
        <v>60</v>
      </c>
      <c r="D170" s="433">
        <v>89.007000000000005</v>
      </c>
      <c r="E170" s="433">
        <v>96.290999999999997</v>
      </c>
      <c r="F170" s="433">
        <v>81.721999999999994</v>
      </c>
      <c r="G170" s="433">
        <v>85.563000000000002</v>
      </c>
      <c r="H170" s="433">
        <v>87.947000000000003</v>
      </c>
      <c r="I170" s="433">
        <v>89.272000000000006</v>
      </c>
      <c r="J170" s="433">
        <v>89.933999999999997</v>
      </c>
      <c r="K170" s="433">
        <v>90.861000000000004</v>
      </c>
      <c r="L170" s="433">
        <v>91.522999999999996</v>
      </c>
      <c r="M170" s="433">
        <v>89.668999999999997</v>
      </c>
      <c r="N170" s="433">
        <v>83.974000000000004</v>
      </c>
      <c r="O170" s="433">
        <v>80.53</v>
      </c>
      <c r="P170" s="433">
        <v>78.94</v>
      </c>
      <c r="Q170" s="433">
        <v>74.171999999999997</v>
      </c>
      <c r="R170" s="433">
        <v>66.887</v>
      </c>
      <c r="S170" s="433">
        <v>53.774999999999999</v>
      </c>
      <c r="T170" s="433">
        <v>18.542999999999999</v>
      </c>
      <c r="U170" s="433">
        <v>7.8150000000000004</v>
      </c>
      <c r="V170" s="433">
        <v>2.1190000000000002</v>
      </c>
      <c r="W170" s="433">
        <v>0</v>
      </c>
      <c r="X170" s="433">
        <v>0</v>
      </c>
      <c r="Y170" s="439">
        <v>0</v>
      </c>
    </row>
    <row r="171" spans="1:26" ht="13.8" thickBot="1" x14ac:dyDescent="0.3">
      <c r="A171" s="435" t="s">
        <v>117</v>
      </c>
      <c r="B171" s="429">
        <f t="shared" ref="B171:X171" si="60">(C170+B170)*(C169-B169)/2</f>
        <v>0.15</v>
      </c>
      <c r="C171" s="430">
        <f t="shared" si="60"/>
        <v>0.596028</v>
      </c>
      <c r="D171" s="430">
        <f t="shared" si="60"/>
        <v>0.83384099999999994</v>
      </c>
      <c r="E171" s="430">
        <f t="shared" si="60"/>
        <v>1.8691364999999995</v>
      </c>
      <c r="F171" s="430">
        <f t="shared" si="60"/>
        <v>6.3568299999999995</v>
      </c>
      <c r="G171" s="430">
        <f t="shared" si="60"/>
        <v>6.8536450000000011</v>
      </c>
      <c r="H171" s="430">
        <f t="shared" si="60"/>
        <v>6.1140555000000001</v>
      </c>
      <c r="I171" s="430">
        <f t="shared" si="60"/>
        <v>6.8098280000000013</v>
      </c>
      <c r="J171" s="430">
        <f t="shared" si="60"/>
        <v>5.5142475000000006</v>
      </c>
      <c r="K171" s="430">
        <f t="shared" si="60"/>
        <v>8.5720479999999988</v>
      </c>
      <c r="L171" s="430">
        <f t="shared" si="60"/>
        <v>5.1639720000000047</v>
      </c>
      <c r="M171" s="430">
        <f t="shared" si="60"/>
        <v>5.8170404999999956</v>
      </c>
      <c r="N171" s="430">
        <f t="shared" si="60"/>
        <v>3.3723320000000032</v>
      </c>
      <c r="O171" s="430">
        <f t="shared" si="60"/>
        <v>3.2691349999999941</v>
      </c>
      <c r="P171" s="430">
        <f t="shared" si="60"/>
        <v>1.9139000000000017</v>
      </c>
      <c r="Q171" s="430">
        <f t="shared" si="60"/>
        <v>1.2695310000000011</v>
      </c>
      <c r="R171" s="430">
        <f t="shared" si="60"/>
        <v>1.2669510000000013</v>
      </c>
      <c r="S171" s="430">
        <f t="shared" si="60"/>
        <v>1.9164269999999977</v>
      </c>
      <c r="T171" s="430">
        <f t="shared" si="60"/>
        <v>0.40854900000000038</v>
      </c>
      <c r="U171" s="430">
        <f t="shared" si="60"/>
        <v>0.19868000000000019</v>
      </c>
      <c r="V171" s="430">
        <f t="shared" si="60"/>
        <v>0.114426</v>
      </c>
      <c r="W171" s="430">
        <f t="shared" si="60"/>
        <v>0</v>
      </c>
      <c r="X171" s="430">
        <f t="shared" si="60"/>
        <v>0</v>
      </c>
      <c r="Y171" s="424"/>
    </row>
    <row r="172" spans="1:26" ht="13.8" thickBot="1" x14ac:dyDescent="0.3">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row>
    <row r="173" spans="1:26" ht="13.8" thickBot="1" x14ac:dyDescent="0.3">
      <c r="A173" s="416" t="s">
        <v>325</v>
      </c>
      <c r="B173" s="414">
        <f>ROW(A173)</f>
        <v>173</v>
      </c>
      <c r="C173" s="418" t="s">
        <v>116</v>
      </c>
      <c r="D173" s="408">
        <f>SUM(B176:Y176)</f>
        <v>67.985428500000012</v>
      </c>
      <c r="E173" s="418" t="s">
        <v>115</v>
      </c>
      <c r="F173" s="409">
        <f>D173/g/J173</f>
        <v>181.89545859519862</v>
      </c>
      <c r="G173" s="418" t="s">
        <v>57</v>
      </c>
      <c r="H173" s="86">
        <v>9.1799999999999993E-2</v>
      </c>
      <c r="I173" s="418" t="s">
        <v>272</v>
      </c>
      <c r="J173" s="410">
        <f>H173-L173</f>
        <v>3.8099999999999988E-2</v>
      </c>
      <c r="K173" s="418" t="s">
        <v>273</v>
      </c>
      <c r="L173" s="86">
        <v>5.3700000000000005E-2</v>
      </c>
      <c r="M173" s="418" t="s">
        <v>58</v>
      </c>
      <c r="N173" s="457">
        <v>66.5</v>
      </c>
      <c r="O173" s="418" t="s">
        <v>60</v>
      </c>
      <c r="P173" s="457">
        <v>66.5</v>
      </c>
      <c r="Q173" s="418" t="s">
        <v>61</v>
      </c>
      <c r="R173" s="87">
        <v>133</v>
      </c>
      <c r="S173" s="418" t="s">
        <v>62</v>
      </c>
      <c r="T173" s="87">
        <v>24</v>
      </c>
      <c r="U173" s="418" t="s">
        <v>55</v>
      </c>
      <c r="V173" s="88" t="s">
        <v>401</v>
      </c>
      <c r="W173" s="547" t="s">
        <v>396</v>
      </c>
      <c r="X173" s="549">
        <v>0.33</v>
      </c>
      <c r="Y173" s="547" t="s">
        <v>395</v>
      </c>
      <c r="Z173" s="413">
        <v>15</v>
      </c>
    </row>
    <row r="174" spans="1:26" x14ac:dyDescent="0.25">
      <c r="A174" s="417" t="s">
        <v>33</v>
      </c>
      <c r="B174" s="441">
        <v>0</v>
      </c>
      <c r="C174" s="442">
        <v>4.0000000000000001E-3</v>
      </c>
      <c r="D174" s="442">
        <v>7.0000000000000001E-3</v>
      </c>
      <c r="E174" s="442">
        <v>0.01</v>
      </c>
      <c r="F174" s="442">
        <v>2.1999999999999999E-2</v>
      </c>
      <c r="G174" s="442">
        <v>2.8000000000000001E-2</v>
      </c>
      <c r="H174" s="442">
        <v>4.1000000000000002E-2</v>
      </c>
      <c r="I174" s="442">
        <v>5.8000000000000003E-2</v>
      </c>
      <c r="J174" s="442">
        <v>7.6999999999999999E-2</v>
      </c>
      <c r="K174" s="442">
        <v>8.8999999999999996E-2</v>
      </c>
      <c r="L174" s="442">
        <v>9.7000000000000003E-2</v>
      </c>
      <c r="M174" s="442">
        <v>0.11899999999999999</v>
      </c>
      <c r="N174" s="442">
        <v>0.14699999999999999</v>
      </c>
      <c r="O174" s="442">
        <v>0.17699999999999999</v>
      </c>
      <c r="P174" s="442">
        <v>0.20699999999999999</v>
      </c>
      <c r="Q174" s="442">
        <v>0.253</v>
      </c>
      <c r="R174" s="442">
        <v>0.25900000000000001</v>
      </c>
      <c r="S174" s="442">
        <v>0.27200000000000002</v>
      </c>
      <c r="T174" s="442">
        <v>0.28000000000000003</v>
      </c>
      <c r="U174" s="442">
        <v>0.28599999999999998</v>
      </c>
      <c r="V174" s="442">
        <v>0.29399999999999998</v>
      </c>
      <c r="W174" s="442">
        <v>0.32800000000000001</v>
      </c>
      <c r="X174" s="442">
        <v>2</v>
      </c>
      <c r="Y174" s="444">
        <v>1000</v>
      </c>
    </row>
    <row r="175" spans="1:26" x14ac:dyDescent="0.25">
      <c r="A175" s="434" t="s">
        <v>34</v>
      </c>
      <c r="B175" s="443">
        <v>0</v>
      </c>
      <c r="C175" s="431">
        <v>100.52800000000001</v>
      </c>
      <c r="D175" s="431">
        <v>197.49299999999999</v>
      </c>
      <c r="E175" s="431">
        <v>222.03200000000001</v>
      </c>
      <c r="F175" s="431">
        <v>241.42500000000001</v>
      </c>
      <c r="G175" s="431">
        <v>237.863</v>
      </c>
      <c r="H175" s="431">
        <v>239.446</v>
      </c>
      <c r="I175" s="431">
        <v>252.50700000000001</v>
      </c>
      <c r="J175" s="431">
        <v>263.98399999999998</v>
      </c>
      <c r="K175" s="431">
        <v>275.46199999999999</v>
      </c>
      <c r="L175" s="431">
        <v>271.50400000000002</v>
      </c>
      <c r="M175" s="431">
        <v>278.62799999999999</v>
      </c>
      <c r="N175" s="431">
        <v>281.39800000000002</v>
      </c>
      <c r="O175" s="431">
        <v>272.29599999999999</v>
      </c>
      <c r="P175" s="431">
        <v>258.44299999999998</v>
      </c>
      <c r="Q175" s="431">
        <v>218.47</v>
      </c>
      <c r="R175" s="431">
        <v>188.786</v>
      </c>
      <c r="S175" s="431">
        <v>74.802000000000007</v>
      </c>
      <c r="T175" s="431">
        <v>31.265999999999998</v>
      </c>
      <c r="U175" s="431">
        <v>15.831</v>
      </c>
      <c r="V175" s="431">
        <v>8.7070000000000007</v>
      </c>
      <c r="W175" s="431">
        <v>0</v>
      </c>
      <c r="X175" s="433">
        <v>0</v>
      </c>
      <c r="Y175" s="439">
        <v>0</v>
      </c>
    </row>
    <row r="176" spans="1:26" ht="13.8" thickBot="1" x14ac:dyDescent="0.3">
      <c r="A176" s="435" t="s">
        <v>117</v>
      </c>
      <c r="B176" s="429">
        <f t="shared" ref="B176:X176" si="61">(C175+B175)*(C174-B174)/2</f>
        <v>0.20105600000000001</v>
      </c>
      <c r="C176" s="430">
        <f t="shared" si="61"/>
        <v>0.44703150000000003</v>
      </c>
      <c r="D176" s="430">
        <f t="shared" si="61"/>
        <v>0.6292875</v>
      </c>
      <c r="E176" s="430">
        <f t="shared" si="61"/>
        <v>2.7807419999999996</v>
      </c>
      <c r="F176" s="430">
        <f t="shared" si="61"/>
        <v>1.4378640000000005</v>
      </c>
      <c r="G176" s="430">
        <f t="shared" si="61"/>
        <v>3.1025084999999999</v>
      </c>
      <c r="H176" s="430">
        <f t="shared" si="61"/>
        <v>4.1816005000000001</v>
      </c>
      <c r="I176" s="430">
        <f t="shared" si="61"/>
        <v>4.9066644999999989</v>
      </c>
      <c r="J176" s="430">
        <f t="shared" si="61"/>
        <v>3.2366759999999988</v>
      </c>
      <c r="K176" s="430">
        <f t="shared" si="61"/>
        <v>2.187864000000002</v>
      </c>
      <c r="L176" s="430">
        <f t="shared" si="61"/>
        <v>6.0514519999999985</v>
      </c>
      <c r="M176" s="430">
        <f t="shared" si="61"/>
        <v>7.8403640000000001</v>
      </c>
      <c r="N176" s="430">
        <f t="shared" si="61"/>
        <v>8.3054099999999984</v>
      </c>
      <c r="O176" s="430">
        <f t="shared" si="61"/>
        <v>7.9610850000000006</v>
      </c>
      <c r="P176" s="430">
        <f t="shared" si="61"/>
        <v>10.968999000000004</v>
      </c>
      <c r="Q176" s="430">
        <f t="shared" si="61"/>
        <v>1.2217680000000011</v>
      </c>
      <c r="R176" s="430">
        <f t="shared" si="61"/>
        <v>1.7133220000000016</v>
      </c>
      <c r="S176" s="430">
        <f t="shared" si="61"/>
        <v>0.42427200000000043</v>
      </c>
      <c r="T176" s="430">
        <f t="shared" si="61"/>
        <v>0.14129099999999881</v>
      </c>
      <c r="U176" s="430">
        <f t="shared" si="61"/>
        <v>9.8152000000000086E-2</v>
      </c>
      <c r="V176" s="430">
        <f t="shared" si="61"/>
        <v>0.14801900000000015</v>
      </c>
      <c r="W176" s="430">
        <f t="shared" si="61"/>
        <v>0</v>
      </c>
      <c r="X176" s="430">
        <f t="shared" si="61"/>
        <v>0</v>
      </c>
      <c r="Y176" s="424"/>
    </row>
    <row r="177" spans="1:26" ht="13.8" thickBot="1" x14ac:dyDescent="0.3">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row>
    <row r="178" spans="1:26" ht="13.8" thickBot="1" x14ac:dyDescent="0.3">
      <c r="A178" s="416" t="s">
        <v>326</v>
      </c>
      <c r="B178" s="414">
        <f>ROW(A178)</f>
        <v>178</v>
      </c>
      <c r="C178" s="418" t="s">
        <v>116</v>
      </c>
      <c r="D178" s="408">
        <f>SUM(B181:Y181)</f>
        <v>73.557381500000005</v>
      </c>
      <c r="E178" s="418" t="s">
        <v>115</v>
      </c>
      <c r="F178" s="409">
        <f>D178/g/J178</f>
        <v>156.86619302308719</v>
      </c>
      <c r="G178" s="418" t="s">
        <v>57</v>
      </c>
      <c r="H178" s="86">
        <v>0.1022</v>
      </c>
      <c r="I178" s="418" t="s">
        <v>272</v>
      </c>
      <c r="J178" s="410">
        <f>H178-L178</f>
        <v>4.7800000000000002E-2</v>
      </c>
      <c r="K178" s="418" t="s">
        <v>273</v>
      </c>
      <c r="L178" s="86">
        <v>5.4399999999999997E-2</v>
      </c>
      <c r="M178" s="418" t="s">
        <v>58</v>
      </c>
      <c r="N178" s="457">
        <v>66.5</v>
      </c>
      <c r="O178" s="418" t="s">
        <v>60</v>
      </c>
      <c r="P178" s="457">
        <v>66.5</v>
      </c>
      <c r="Q178" s="418" t="s">
        <v>61</v>
      </c>
      <c r="R178" s="87">
        <v>133</v>
      </c>
      <c r="S178" s="418" t="s">
        <v>62</v>
      </c>
      <c r="T178" s="87">
        <v>24</v>
      </c>
      <c r="U178" s="418" t="s">
        <v>55</v>
      </c>
      <c r="V178" s="88" t="s">
        <v>401</v>
      </c>
      <c r="W178" s="547" t="s">
        <v>396</v>
      </c>
      <c r="X178" s="549">
        <v>2.36</v>
      </c>
      <c r="Y178" s="547" t="s">
        <v>395</v>
      </c>
      <c r="Z178" s="413">
        <v>6</v>
      </c>
    </row>
    <row r="179" spans="1:26" x14ac:dyDescent="0.25">
      <c r="A179" s="417" t="s">
        <v>33</v>
      </c>
      <c r="B179" s="441">
        <v>0</v>
      </c>
      <c r="C179" s="442">
        <v>1.4E-2</v>
      </c>
      <c r="D179" s="442">
        <v>5.6000000000000001E-2</v>
      </c>
      <c r="E179" s="442">
        <v>9.1999999999999998E-2</v>
      </c>
      <c r="F179" s="442">
        <v>0.16</v>
      </c>
      <c r="G179" s="442">
        <v>0.23200000000000001</v>
      </c>
      <c r="H179" s="442">
        <v>0.36299999999999999</v>
      </c>
      <c r="I179" s="442">
        <v>0.499</v>
      </c>
      <c r="J179" s="442">
        <v>0.65500000000000003</v>
      </c>
      <c r="K179" s="442">
        <v>0.84299999999999997</v>
      </c>
      <c r="L179" s="442">
        <v>1.216</v>
      </c>
      <c r="M179" s="442">
        <v>1.3680000000000001</v>
      </c>
      <c r="N179" s="442">
        <v>1.54</v>
      </c>
      <c r="O179" s="442">
        <v>1.675</v>
      </c>
      <c r="P179" s="442">
        <v>1.861</v>
      </c>
      <c r="Q179" s="442">
        <v>2.0129999999999999</v>
      </c>
      <c r="R179" s="442">
        <v>2.1589999999999998</v>
      </c>
      <c r="S179" s="442">
        <v>2.302</v>
      </c>
      <c r="T179" s="442">
        <v>2.4620000000000002</v>
      </c>
      <c r="U179" s="442">
        <v>2.5979999999999999</v>
      </c>
      <c r="V179" s="442">
        <v>2.5979999999999999</v>
      </c>
      <c r="W179" s="442">
        <v>2.5979999999999999</v>
      </c>
      <c r="X179" s="442">
        <v>2.5979999999999999</v>
      </c>
      <c r="Y179" s="444">
        <v>1000</v>
      </c>
    </row>
    <row r="180" spans="1:26" x14ac:dyDescent="0.25">
      <c r="A180" s="434" t="s">
        <v>34</v>
      </c>
      <c r="B180" s="443">
        <v>0</v>
      </c>
      <c r="C180" s="431">
        <v>54.222000000000001</v>
      </c>
      <c r="D180" s="431">
        <v>43.456000000000003</v>
      </c>
      <c r="E180" s="431">
        <v>50.185000000000002</v>
      </c>
      <c r="F180" s="431">
        <v>54.063000000000002</v>
      </c>
      <c r="G180" s="431">
        <v>48.363999999999997</v>
      </c>
      <c r="H180" s="431">
        <v>45.752000000000002</v>
      </c>
      <c r="I180" s="431">
        <v>43.14</v>
      </c>
      <c r="J180" s="431">
        <v>40.29</v>
      </c>
      <c r="K180" s="431">
        <v>37.835999999999999</v>
      </c>
      <c r="L180" s="431">
        <v>32.612000000000002</v>
      </c>
      <c r="M180" s="431">
        <v>30.317</v>
      </c>
      <c r="N180" s="431">
        <v>26.359000000000002</v>
      </c>
      <c r="O180" s="431">
        <v>23.509</v>
      </c>
      <c r="P180" s="431">
        <v>19.077000000000002</v>
      </c>
      <c r="Q180" s="431">
        <v>14.565</v>
      </c>
      <c r="R180" s="431">
        <v>10.053000000000001</v>
      </c>
      <c r="S180" s="431">
        <v>4.8280000000000003</v>
      </c>
      <c r="T180" s="431">
        <v>1.504</v>
      </c>
      <c r="U180" s="433">
        <v>0</v>
      </c>
      <c r="V180" s="433">
        <v>0</v>
      </c>
      <c r="W180" s="433">
        <v>0</v>
      </c>
      <c r="X180" s="433">
        <v>0</v>
      </c>
      <c r="Y180" s="439">
        <v>0</v>
      </c>
    </row>
    <row r="181" spans="1:26" ht="13.8" thickBot="1" x14ac:dyDescent="0.3">
      <c r="A181" s="435" t="s">
        <v>117</v>
      </c>
      <c r="B181" s="429">
        <f t="shared" ref="B181:X181" si="62">(C180+B180)*(C179-B179)/2</f>
        <v>0.379554</v>
      </c>
      <c r="C181" s="430">
        <f t="shared" si="62"/>
        <v>2.0512380000000001</v>
      </c>
      <c r="D181" s="430">
        <f t="shared" si="62"/>
        <v>1.685538</v>
      </c>
      <c r="E181" s="430">
        <f t="shared" si="62"/>
        <v>3.5444320000000005</v>
      </c>
      <c r="F181" s="430">
        <f t="shared" si="62"/>
        <v>3.6873720000000003</v>
      </c>
      <c r="G181" s="430">
        <f t="shared" si="62"/>
        <v>6.1645979999999989</v>
      </c>
      <c r="H181" s="430">
        <f t="shared" si="62"/>
        <v>6.0446559999999998</v>
      </c>
      <c r="I181" s="430">
        <f t="shared" si="62"/>
        <v>6.5075400000000014</v>
      </c>
      <c r="J181" s="430">
        <f t="shared" si="62"/>
        <v>7.343843999999998</v>
      </c>
      <c r="K181" s="430">
        <f t="shared" si="62"/>
        <v>13.138552000000001</v>
      </c>
      <c r="L181" s="430">
        <f t="shared" si="62"/>
        <v>4.7826040000000045</v>
      </c>
      <c r="M181" s="430">
        <f t="shared" si="62"/>
        <v>4.8741359999999982</v>
      </c>
      <c r="N181" s="430">
        <f t="shared" si="62"/>
        <v>3.3660900000000002</v>
      </c>
      <c r="O181" s="430">
        <f t="shared" si="62"/>
        <v>3.9604979999999985</v>
      </c>
      <c r="P181" s="430">
        <f t="shared" si="62"/>
        <v>2.5567919999999988</v>
      </c>
      <c r="Q181" s="430">
        <f t="shared" si="62"/>
        <v>1.797113999999999</v>
      </c>
      <c r="R181" s="430">
        <f t="shared" si="62"/>
        <v>1.0639915000000018</v>
      </c>
      <c r="S181" s="430">
        <f t="shared" si="62"/>
        <v>0.50656000000000045</v>
      </c>
      <c r="T181" s="430">
        <f t="shared" si="62"/>
        <v>0.10227199999999975</v>
      </c>
      <c r="U181" s="430">
        <f t="shared" si="62"/>
        <v>0</v>
      </c>
      <c r="V181" s="430">
        <f t="shared" si="62"/>
        <v>0</v>
      </c>
      <c r="W181" s="430">
        <f t="shared" si="62"/>
        <v>0</v>
      </c>
      <c r="X181" s="430">
        <f t="shared" si="62"/>
        <v>0</v>
      </c>
      <c r="Y181" s="424"/>
    </row>
    <row r="182" spans="1:26" ht="13.8" thickBot="1" x14ac:dyDescent="0.3">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row>
    <row r="183" spans="1:26" ht="13.8" thickBot="1" x14ac:dyDescent="0.3">
      <c r="A183" s="416" t="s">
        <v>327</v>
      </c>
      <c r="B183" s="414">
        <f>ROW(A183)</f>
        <v>183</v>
      </c>
      <c r="C183" s="418" t="s">
        <v>116</v>
      </c>
      <c r="D183" s="408">
        <f>SUM(B186:Y186)</f>
        <v>73.169517999999997</v>
      </c>
      <c r="E183" s="418" t="s">
        <v>115</v>
      </c>
      <c r="F183" s="409">
        <f>D183/g/J183</f>
        <v>177.58729673316827</v>
      </c>
      <c r="G183" s="418" t="s">
        <v>57</v>
      </c>
      <c r="H183" s="86">
        <v>9.6000000000000002E-2</v>
      </c>
      <c r="I183" s="418" t="s">
        <v>272</v>
      </c>
      <c r="J183" s="410">
        <f>H183-L183</f>
        <v>4.2000000000000003E-2</v>
      </c>
      <c r="K183" s="418" t="s">
        <v>273</v>
      </c>
      <c r="L183" s="86">
        <v>5.3999999999999999E-2</v>
      </c>
      <c r="M183" s="418" t="s">
        <v>58</v>
      </c>
      <c r="N183" s="457">
        <v>66.5</v>
      </c>
      <c r="O183" s="418" t="s">
        <v>60</v>
      </c>
      <c r="P183" s="457">
        <v>66.5</v>
      </c>
      <c r="Q183" s="418" t="s">
        <v>61</v>
      </c>
      <c r="R183" s="87">
        <v>133</v>
      </c>
      <c r="S183" s="418" t="s">
        <v>62</v>
      </c>
      <c r="T183" s="87">
        <v>24</v>
      </c>
      <c r="U183" s="418" t="s">
        <v>55</v>
      </c>
      <c r="V183" s="88" t="s">
        <v>401</v>
      </c>
      <c r="W183" s="547" t="s">
        <v>396</v>
      </c>
      <c r="X183" s="549">
        <v>0.87</v>
      </c>
      <c r="Y183" s="547" t="s">
        <v>395</v>
      </c>
      <c r="Z183" s="413">
        <v>15</v>
      </c>
    </row>
    <row r="184" spans="1:26" x14ac:dyDescent="0.25">
      <c r="A184" s="417" t="s">
        <v>33</v>
      </c>
      <c r="B184" s="441">
        <v>0</v>
      </c>
      <c r="C184" s="442">
        <v>0.01</v>
      </c>
      <c r="D184" s="442">
        <v>2.3E-2</v>
      </c>
      <c r="E184" s="442">
        <v>0.04</v>
      </c>
      <c r="F184" s="442">
        <v>0.11799999999999999</v>
      </c>
      <c r="G184" s="442">
        <v>0.28299999999999997</v>
      </c>
      <c r="H184" s="442">
        <v>0.51</v>
      </c>
      <c r="I184" s="442">
        <v>0.68799999999999994</v>
      </c>
      <c r="J184" s="442">
        <v>0.78700000000000003</v>
      </c>
      <c r="K184" s="442">
        <v>0.85199999999999998</v>
      </c>
      <c r="L184" s="442">
        <v>0.873</v>
      </c>
      <c r="M184" s="442">
        <v>0.873</v>
      </c>
      <c r="N184" s="442">
        <v>0.873</v>
      </c>
      <c r="O184" s="442">
        <v>0.873</v>
      </c>
      <c r="P184" s="442">
        <v>0.873</v>
      </c>
      <c r="Q184" s="442">
        <v>0.873</v>
      </c>
      <c r="R184" s="442">
        <v>0.873</v>
      </c>
      <c r="S184" s="442">
        <v>0.873</v>
      </c>
      <c r="T184" s="442">
        <v>0.873</v>
      </c>
      <c r="U184" s="442">
        <v>0.873</v>
      </c>
      <c r="V184" s="442">
        <v>0.873</v>
      </c>
      <c r="W184" s="442">
        <v>0.873</v>
      </c>
      <c r="X184" s="442">
        <v>2</v>
      </c>
      <c r="Y184" s="444">
        <v>1000</v>
      </c>
    </row>
    <row r="185" spans="1:26" x14ac:dyDescent="0.25">
      <c r="A185" s="434" t="s">
        <v>34</v>
      </c>
      <c r="B185" s="443">
        <v>0</v>
      </c>
      <c r="C185" s="431">
        <v>76.073999999999998</v>
      </c>
      <c r="D185" s="431">
        <v>100.185</v>
      </c>
      <c r="E185" s="431">
        <v>92.424999999999997</v>
      </c>
      <c r="F185" s="431">
        <v>100.878</v>
      </c>
      <c r="G185" s="431">
        <v>102.402</v>
      </c>
      <c r="H185" s="431">
        <v>96.442999999999998</v>
      </c>
      <c r="I185" s="431">
        <v>87.436000000000007</v>
      </c>
      <c r="J185" s="431">
        <v>25.911999999999999</v>
      </c>
      <c r="K185" s="431">
        <v>7.2060000000000004</v>
      </c>
      <c r="L185" s="433">
        <v>0</v>
      </c>
      <c r="M185" s="433">
        <v>0</v>
      </c>
      <c r="N185" s="433">
        <v>0</v>
      </c>
      <c r="O185" s="433">
        <v>0</v>
      </c>
      <c r="P185" s="433">
        <v>0</v>
      </c>
      <c r="Q185" s="433">
        <v>0</v>
      </c>
      <c r="R185" s="433">
        <v>0</v>
      </c>
      <c r="S185" s="433">
        <v>0</v>
      </c>
      <c r="T185" s="433">
        <v>0</v>
      </c>
      <c r="U185" s="433">
        <v>0</v>
      </c>
      <c r="V185" s="433">
        <v>0</v>
      </c>
      <c r="W185" s="433">
        <v>0</v>
      </c>
      <c r="X185" s="433">
        <v>0</v>
      </c>
      <c r="Y185" s="439">
        <v>0</v>
      </c>
    </row>
    <row r="186" spans="1:26" ht="13.8" thickBot="1" x14ac:dyDescent="0.3">
      <c r="A186" s="435" t="s">
        <v>117</v>
      </c>
      <c r="B186" s="429">
        <f t="shared" ref="B186:X186" si="63">(C185+B185)*(C184-B184)/2</f>
        <v>0.38036999999999999</v>
      </c>
      <c r="C186" s="430">
        <f t="shared" si="63"/>
        <v>1.1456835000000001</v>
      </c>
      <c r="D186" s="430">
        <f t="shared" si="63"/>
        <v>1.6371850000000003</v>
      </c>
      <c r="E186" s="430">
        <f t="shared" si="63"/>
        <v>7.5388169999999981</v>
      </c>
      <c r="F186" s="430">
        <f t="shared" si="63"/>
        <v>16.770599999999998</v>
      </c>
      <c r="G186" s="430">
        <f t="shared" si="63"/>
        <v>22.568907500000002</v>
      </c>
      <c r="H186" s="430">
        <f t="shared" si="63"/>
        <v>16.365230999999994</v>
      </c>
      <c r="I186" s="430">
        <f t="shared" si="63"/>
        <v>5.6107260000000059</v>
      </c>
      <c r="J186" s="430">
        <f t="shared" si="63"/>
        <v>1.0763349999999992</v>
      </c>
      <c r="K186" s="430">
        <f t="shared" si="63"/>
        <v>7.5663000000000077E-2</v>
      </c>
      <c r="L186" s="430">
        <f t="shared" si="63"/>
        <v>0</v>
      </c>
      <c r="M186" s="430">
        <f t="shared" si="63"/>
        <v>0</v>
      </c>
      <c r="N186" s="430">
        <f t="shared" si="63"/>
        <v>0</v>
      </c>
      <c r="O186" s="430">
        <f t="shared" si="63"/>
        <v>0</v>
      </c>
      <c r="P186" s="430">
        <f t="shared" si="63"/>
        <v>0</v>
      </c>
      <c r="Q186" s="430">
        <f t="shared" si="63"/>
        <v>0</v>
      </c>
      <c r="R186" s="430">
        <f t="shared" si="63"/>
        <v>0</v>
      </c>
      <c r="S186" s="430">
        <f t="shared" si="63"/>
        <v>0</v>
      </c>
      <c r="T186" s="430">
        <f t="shared" si="63"/>
        <v>0</v>
      </c>
      <c r="U186" s="430">
        <f t="shared" si="63"/>
        <v>0</v>
      </c>
      <c r="V186" s="430">
        <f t="shared" si="63"/>
        <v>0</v>
      </c>
      <c r="W186" s="430">
        <f t="shared" si="63"/>
        <v>0</v>
      </c>
      <c r="X186" s="430">
        <f t="shared" si="63"/>
        <v>0</v>
      </c>
      <c r="Y186" s="424"/>
    </row>
    <row r="187" spans="1:26" ht="13.8" thickBot="1" x14ac:dyDescent="0.3">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row>
    <row r="188" spans="1:26" ht="13.8" thickBot="1" x14ac:dyDescent="0.3">
      <c r="A188" s="416" t="s">
        <v>328</v>
      </c>
      <c r="B188" s="414">
        <f>ROW(A188)</f>
        <v>188</v>
      </c>
      <c r="C188" s="418" t="s">
        <v>116</v>
      </c>
      <c r="D188" s="408">
        <f>SUM(B191:Y191)</f>
        <v>75.254384000000016</v>
      </c>
      <c r="E188" s="418" t="s">
        <v>115</v>
      </c>
      <c r="F188" s="409">
        <f>D188/g/J188</f>
        <v>232.46033422914161</v>
      </c>
      <c r="G188" s="418" t="s">
        <v>57</v>
      </c>
      <c r="H188" s="86">
        <v>9.5000000000000001E-2</v>
      </c>
      <c r="I188" s="418" t="s">
        <v>272</v>
      </c>
      <c r="J188" s="410">
        <f>H188-L188</f>
        <v>3.3000000000000002E-2</v>
      </c>
      <c r="K188" s="418" t="s">
        <v>273</v>
      </c>
      <c r="L188" s="86">
        <f>0.095-0.033</f>
        <v>6.2E-2</v>
      </c>
      <c r="M188" s="418" t="s">
        <v>58</v>
      </c>
      <c r="N188" s="457">
        <v>66.5</v>
      </c>
      <c r="O188" s="418" t="s">
        <v>60</v>
      </c>
      <c r="P188" s="457">
        <v>66.5</v>
      </c>
      <c r="Q188" s="418" t="s">
        <v>61</v>
      </c>
      <c r="R188" s="87">
        <v>133</v>
      </c>
      <c r="S188" s="418" t="s">
        <v>62</v>
      </c>
      <c r="T188" s="87">
        <v>24</v>
      </c>
      <c r="U188" s="418" t="s">
        <v>55</v>
      </c>
      <c r="V188" s="88" t="s">
        <v>401</v>
      </c>
      <c r="W188" s="547" t="s">
        <v>396</v>
      </c>
      <c r="X188" s="549">
        <v>1.5</v>
      </c>
      <c r="Y188" s="547" t="s">
        <v>395</v>
      </c>
      <c r="Z188" s="413">
        <v>12</v>
      </c>
    </row>
    <row r="189" spans="1:26" x14ac:dyDescent="0.25">
      <c r="A189" s="417" t="s">
        <v>33</v>
      </c>
      <c r="B189" s="425">
        <v>0</v>
      </c>
      <c r="C189" s="426">
        <v>0.02</v>
      </c>
      <c r="D189" s="426">
        <v>3.1E-2</v>
      </c>
      <c r="E189" s="426">
        <v>6.2E-2</v>
      </c>
      <c r="F189" s="426">
        <v>0.11700000000000001</v>
      </c>
      <c r="G189" s="426">
        <v>1.2110000000000001</v>
      </c>
      <c r="H189" s="426">
        <v>1.3759999999999999</v>
      </c>
      <c r="I189" s="426">
        <v>1.456</v>
      </c>
      <c r="J189" s="426">
        <v>1.532</v>
      </c>
      <c r="K189" s="426">
        <v>1.577</v>
      </c>
      <c r="L189" s="442">
        <v>2</v>
      </c>
      <c r="M189" s="442">
        <v>2</v>
      </c>
      <c r="N189" s="442">
        <v>2</v>
      </c>
      <c r="O189" s="442">
        <v>2</v>
      </c>
      <c r="P189" s="442">
        <v>2</v>
      </c>
      <c r="Q189" s="442">
        <v>2</v>
      </c>
      <c r="R189" s="442">
        <v>2</v>
      </c>
      <c r="S189" s="442">
        <v>2</v>
      </c>
      <c r="T189" s="442">
        <v>2</v>
      </c>
      <c r="U189" s="442">
        <v>2</v>
      </c>
      <c r="V189" s="442">
        <v>2</v>
      </c>
      <c r="W189" s="442">
        <v>2</v>
      </c>
      <c r="X189" s="442">
        <f t="shared" ref="T189:X190" si="64">W189</f>
        <v>2</v>
      </c>
      <c r="Y189" s="444">
        <v>1000</v>
      </c>
    </row>
    <row r="190" spans="1:26" x14ac:dyDescent="0.25">
      <c r="A190" s="434" t="s">
        <v>34</v>
      </c>
      <c r="B190" s="427">
        <v>0</v>
      </c>
      <c r="C190" s="428">
        <v>75.924000000000007</v>
      </c>
      <c r="D190" s="428">
        <v>84.147999999999996</v>
      </c>
      <c r="E190" s="428">
        <v>70.441000000000003</v>
      </c>
      <c r="F190" s="428">
        <v>73.659000000000006</v>
      </c>
      <c r="G190" s="428">
        <v>38.737000000000002</v>
      </c>
      <c r="H190" s="428">
        <v>14.779</v>
      </c>
      <c r="I190" s="428">
        <v>7.2709999999999999</v>
      </c>
      <c r="J190" s="428">
        <v>3.3370000000000002</v>
      </c>
      <c r="K190" s="428">
        <v>0</v>
      </c>
      <c r="L190" s="433">
        <v>0</v>
      </c>
      <c r="M190" s="433">
        <v>0</v>
      </c>
      <c r="N190" s="433">
        <v>0</v>
      </c>
      <c r="O190" s="433">
        <v>0</v>
      </c>
      <c r="P190" s="433">
        <v>0</v>
      </c>
      <c r="Q190" s="433">
        <v>0</v>
      </c>
      <c r="R190" s="433">
        <v>0</v>
      </c>
      <c r="S190" s="433">
        <v>0</v>
      </c>
      <c r="T190" s="433">
        <f t="shared" si="64"/>
        <v>0</v>
      </c>
      <c r="U190" s="433">
        <f t="shared" si="64"/>
        <v>0</v>
      </c>
      <c r="V190" s="433">
        <f t="shared" si="64"/>
        <v>0</v>
      </c>
      <c r="W190" s="433">
        <f t="shared" si="64"/>
        <v>0</v>
      </c>
      <c r="X190" s="433">
        <f t="shared" si="64"/>
        <v>0</v>
      </c>
      <c r="Y190" s="439">
        <v>0</v>
      </c>
    </row>
    <row r="191" spans="1:26" ht="13.8" thickBot="1" x14ac:dyDescent="0.3">
      <c r="A191" s="435" t="s">
        <v>117</v>
      </c>
      <c r="B191" s="429">
        <f t="shared" ref="B191:V191" si="65">(C190+B190)*(C189-B189)/2</f>
        <v>0.75924000000000014</v>
      </c>
      <c r="C191" s="430">
        <f t="shared" si="65"/>
        <v>0.88039599999999996</v>
      </c>
      <c r="D191" s="430">
        <f t="shared" si="65"/>
        <v>2.3961294999999998</v>
      </c>
      <c r="E191" s="430">
        <f t="shared" si="65"/>
        <v>3.9627500000000011</v>
      </c>
      <c r="F191" s="430">
        <f t="shared" si="65"/>
        <v>61.480612000000015</v>
      </c>
      <c r="G191" s="430">
        <f t="shared" si="65"/>
        <v>4.4150699999999956</v>
      </c>
      <c r="H191" s="430">
        <f t="shared" si="65"/>
        <v>0.88200000000000078</v>
      </c>
      <c r="I191" s="430">
        <f t="shared" si="65"/>
        <v>0.40310400000000035</v>
      </c>
      <c r="J191" s="430">
        <f>(K190+J190)*(K189-J189)/2</f>
        <v>7.5082499999999885E-2</v>
      </c>
      <c r="K191" s="430">
        <f t="shared" si="65"/>
        <v>0</v>
      </c>
      <c r="L191" s="430">
        <f t="shared" si="65"/>
        <v>0</v>
      </c>
      <c r="M191" s="430">
        <f t="shared" si="65"/>
        <v>0</v>
      </c>
      <c r="N191" s="430">
        <f t="shared" si="65"/>
        <v>0</v>
      </c>
      <c r="O191" s="430">
        <f t="shared" si="65"/>
        <v>0</v>
      </c>
      <c r="P191" s="430">
        <f t="shared" si="65"/>
        <v>0</v>
      </c>
      <c r="Q191" s="430">
        <f t="shared" si="65"/>
        <v>0</v>
      </c>
      <c r="R191" s="430">
        <f t="shared" si="65"/>
        <v>0</v>
      </c>
      <c r="S191" s="430">
        <f>(T190+S190)*(T189-S189)/2</f>
        <v>0</v>
      </c>
      <c r="T191" s="430">
        <f t="shared" si="65"/>
        <v>0</v>
      </c>
      <c r="U191" s="430">
        <f t="shared" si="65"/>
        <v>0</v>
      </c>
      <c r="V191" s="430">
        <f t="shared" si="65"/>
        <v>0</v>
      </c>
      <c r="W191" s="430">
        <f>(X190+W190)*(X189-W189)/2</f>
        <v>0</v>
      </c>
      <c r="X191" s="430">
        <f>(Y190+X190)*(Y189-X189)/2</f>
        <v>0</v>
      </c>
      <c r="Y191" s="424"/>
    </row>
    <row r="192" spans="1:26" ht="13.8" thickBot="1" x14ac:dyDescent="0.3">
      <c r="A192" s="492" t="s">
        <v>375</v>
      </c>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row>
    <row r="193" spans="1:26" ht="13.8" thickBot="1" x14ac:dyDescent="0.3">
      <c r="A193" s="416" t="s">
        <v>538</v>
      </c>
      <c r="B193" s="414">
        <f>ROW(A193)</f>
        <v>193</v>
      </c>
      <c r="C193" s="418" t="s">
        <v>116</v>
      </c>
      <c r="D193" s="408">
        <f>SUM(B196:Y196)</f>
        <v>141.04999999999998</v>
      </c>
      <c r="E193" s="418" t="s">
        <v>115</v>
      </c>
      <c r="F193" s="409">
        <f>D193/g/J193</f>
        <v>186.24592648930721</v>
      </c>
      <c r="G193" s="418" t="s">
        <v>57</v>
      </c>
      <c r="H193" s="86">
        <v>0.16189999999999999</v>
      </c>
      <c r="I193" s="418" t="s">
        <v>272</v>
      </c>
      <c r="J193" s="410">
        <f>H193-L193</f>
        <v>7.7199999999999991E-2</v>
      </c>
      <c r="K193" s="418" t="s">
        <v>273</v>
      </c>
      <c r="L193" s="86">
        <v>8.4699999999999998E-2</v>
      </c>
      <c r="M193" s="418" t="s">
        <v>58</v>
      </c>
      <c r="N193" s="87">
        <v>114</v>
      </c>
      <c r="O193" s="418" t="s">
        <v>60</v>
      </c>
      <c r="P193" s="87">
        <v>114</v>
      </c>
      <c r="Q193" s="418" t="s">
        <v>61</v>
      </c>
      <c r="R193" s="87">
        <v>228</v>
      </c>
      <c r="S193" s="418" t="s">
        <v>62</v>
      </c>
      <c r="T193" s="87">
        <v>24</v>
      </c>
      <c r="U193" s="418" t="s">
        <v>55</v>
      </c>
      <c r="V193" s="88" t="s">
        <v>120</v>
      </c>
      <c r="W193" s="547" t="s">
        <v>396</v>
      </c>
      <c r="X193" s="549">
        <v>0.96</v>
      </c>
      <c r="Y193" s="547" t="s">
        <v>395</v>
      </c>
      <c r="Z193" s="413">
        <v>15</v>
      </c>
    </row>
    <row r="194" spans="1:26" x14ac:dyDescent="0.25">
      <c r="A194" s="417" t="s">
        <v>33</v>
      </c>
      <c r="B194" s="441">
        <v>0</v>
      </c>
      <c r="C194" s="442">
        <v>0.02</v>
      </c>
      <c r="D194" s="442">
        <v>0.03</v>
      </c>
      <c r="E194" s="442">
        <v>0.05</v>
      </c>
      <c r="F194" s="442">
        <v>0.6</v>
      </c>
      <c r="G194" s="442">
        <v>0.67</v>
      </c>
      <c r="H194" s="442">
        <v>0.7</v>
      </c>
      <c r="I194" s="442">
        <v>0.8</v>
      </c>
      <c r="J194" s="442">
        <v>0.9</v>
      </c>
      <c r="K194" s="442">
        <v>1.05</v>
      </c>
      <c r="L194" s="442">
        <f t="shared" ref="L194:W194" si="66">K194</f>
        <v>1.05</v>
      </c>
      <c r="M194" s="442">
        <f t="shared" si="66"/>
        <v>1.05</v>
      </c>
      <c r="N194" s="442">
        <f t="shared" si="66"/>
        <v>1.05</v>
      </c>
      <c r="O194" s="442">
        <f t="shared" si="66"/>
        <v>1.05</v>
      </c>
      <c r="P194" s="442">
        <f t="shared" si="66"/>
        <v>1.05</v>
      </c>
      <c r="Q194" s="442">
        <f t="shared" si="66"/>
        <v>1.05</v>
      </c>
      <c r="R194" s="442">
        <f t="shared" si="66"/>
        <v>1.05</v>
      </c>
      <c r="S194" s="442">
        <f t="shared" si="66"/>
        <v>1.05</v>
      </c>
      <c r="T194" s="442">
        <f t="shared" si="66"/>
        <v>1.05</v>
      </c>
      <c r="U194" s="442">
        <f t="shared" si="66"/>
        <v>1.05</v>
      </c>
      <c r="V194" s="442">
        <f t="shared" si="66"/>
        <v>1.05</v>
      </c>
      <c r="W194" s="442">
        <f t="shared" si="66"/>
        <v>1.05</v>
      </c>
      <c r="X194" s="442">
        <v>2</v>
      </c>
      <c r="Y194" s="444">
        <v>1000</v>
      </c>
    </row>
    <row r="195" spans="1:26" x14ac:dyDescent="0.25">
      <c r="A195" s="434" t="s">
        <v>34</v>
      </c>
      <c r="B195" s="443">
        <v>0</v>
      </c>
      <c r="C195" s="433">
        <v>350</v>
      </c>
      <c r="D195" s="433">
        <v>250</v>
      </c>
      <c r="E195" s="433">
        <v>210</v>
      </c>
      <c r="F195" s="433">
        <v>150</v>
      </c>
      <c r="G195" s="433">
        <v>140</v>
      </c>
      <c r="H195" s="433">
        <v>130</v>
      </c>
      <c r="I195" s="433">
        <v>65</v>
      </c>
      <c r="J195" s="433">
        <v>30</v>
      </c>
      <c r="K195" s="433">
        <v>0</v>
      </c>
      <c r="L195" s="433">
        <v>0</v>
      </c>
      <c r="M195" s="433">
        <v>0</v>
      </c>
      <c r="N195" s="433">
        <v>0</v>
      </c>
      <c r="O195" s="433">
        <v>0</v>
      </c>
      <c r="P195" s="433">
        <v>0</v>
      </c>
      <c r="Q195" s="433">
        <v>0</v>
      </c>
      <c r="R195" s="433">
        <v>0</v>
      </c>
      <c r="S195" s="433">
        <f t="shared" ref="S195:X195" si="67">R195</f>
        <v>0</v>
      </c>
      <c r="T195" s="433">
        <f t="shared" si="67"/>
        <v>0</v>
      </c>
      <c r="U195" s="433">
        <f t="shared" si="67"/>
        <v>0</v>
      </c>
      <c r="V195" s="433">
        <f t="shared" si="67"/>
        <v>0</v>
      </c>
      <c r="W195" s="433">
        <f t="shared" si="67"/>
        <v>0</v>
      </c>
      <c r="X195" s="433">
        <f t="shared" si="67"/>
        <v>0</v>
      </c>
      <c r="Y195" s="439">
        <v>0</v>
      </c>
    </row>
    <row r="196" spans="1:26" ht="13.8" thickBot="1" x14ac:dyDescent="0.3">
      <c r="A196" s="435" t="s">
        <v>117</v>
      </c>
      <c r="B196" s="429">
        <f t="shared" ref="B196:X196" si="68">(C195+B195)*(C194-B194)/2</f>
        <v>3.5</v>
      </c>
      <c r="C196" s="430">
        <f t="shared" si="68"/>
        <v>2.9999999999999996</v>
      </c>
      <c r="D196" s="430">
        <f t="shared" si="68"/>
        <v>4.6000000000000005</v>
      </c>
      <c r="E196" s="430">
        <f t="shared" si="68"/>
        <v>98.999999999999986</v>
      </c>
      <c r="F196" s="430">
        <f t="shared" si="68"/>
        <v>10.150000000000009</v>
      </c>
      <c r="G196" s="430">
        <f t="shared" si="68"/>
        <v>4.0499999999999883</v>
      </c>
      <c r="H196" s="430">
        <f t="shared" si="68"/>
        <v>9.7500000000000089</v>
      </c>
      <c r="I196" s="430">
        <f t="shared" si="68"/>
        <v>4.7499999999999991</v>
      </c>
      <c r="J196" s="430">
        <f t="shared" si="68"/>
        <v>2.2500000000000004</v>
      </c>
      <c r="K196" s="430">
        <f t="shared" si="68"/>
        <v>0</v>
      </c>
      <c r="L196" s="430">
        <f t="shared" si="68"/>
        <v>0</v>
      </c>
      <c r="M196" s="430">
        <f t="shared" si="68"/>
        <v>0</v>
      </c>
      <c r="N196" s="430">
        <f t="shared" si="68"/>
        <v>0</v>
      </c>
      <c r="O196" s="430">
        <f t="shared" si="68"/>
        <v>0</v>
      </c>
      <c r="P196" s="430">
        <f t="shared" si="68"/>
        <v>0</v>
      </c>
      <c r="Q196" s="430">
        <f t="shared" si="68"/>
        <v>0</v>
      </c>
      <c r="R196" s="430">
        <f t="shared" si="68"/>
        <v>0</v>
      </c>
      <c r="S196" s="430">
        <f t="shared" si="68"/>
        <v>0</v>
      </c>
      <c r="T196" s="430">
        <f t="shared" si="68"/>
        <v>0</v>
      </c>
      <c r="U196" s="430">
        <f t="shared" si="68"/>
        <v>0</v>
      </c>
      <c r="V196" s="430">
        <f t="shared" si="68"/>
        <v>0</v>
      </c>
      <c r="W196" s="430">
        <f t="shared" si="68"/>
        <v>0</v>
      </c>
      <c r="X196" s="430">
        <f t="shared" si="68"/>
        <v>0</v>
      </c>
      <c r="Y196" s="424"/>
    </row>
    <row r="197" spans="1:26" ht="13.8" thickBot="1" x14ac:dyDescent="0.3">
      <c r="A197" s="17" t="s">
        <v>548</v>
      </c>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row>
    <row r="198" spans="1:26" ht="13.8" thickBot="1" x14ac:dyDescent="0.3">
      <c r="A198" s="416" t="s">
        <v>553</v>
      </c>
      <c r="B198" s="414">
        <f>ROW(A198)</f>
        <v>198</v>
      </c>
      <c r="C198" s="418" t="s">
        <v>116</v>
      </c>
      <c r="D198" s="408">
        <f>SUM(B201:Y201)</f>
        <v>142.44</v>
      </c>
      <c r="E198" s="418" t="s">
        <v>115</v>
      </c>
      <c r="F198" s="409">
        <f>D198/g/J198</f>
        <v>192.06187401906058</v>
      </c>
      <c r="G198" s="418" t="s">
        <v>57</v>
      </c>
      <c r="H198" s="86">
        <v>0.15989999999999999</v>
      </c>
      <c r="I198" s="418" t="s">
        <v>272</v>
      </c>
      <c r="J198" s="410">
        <f>H198-L198</f>
        <v>7.5599999999999987E-2</v>
      </c>
      <c r="K198" s="418" t="s">
        <v>273</v>
      </c>
      <c r="L198" s="86">
        <v>8.43E-2</v>
      </c>
      <c r="M198" s="418" t="s">
        <v>58</v>
      </c>
      <c r="N198" s="87">
        <v>114</v>
      </c>
      <c r="O198" s="418" t="s">
        <v>60</v>
      </c>
      <c r="P198" s="87">
        <v>114</v>
      </c>
      <c r="Q198" s="418" t="s">
        <v>61</v>
      </c>
      <c r="R198" s="87">
        <v>228</v>
      </c>
      <c r="S198" s="418" t="s">
        <v>62</v>
      </c>
      <c r="T198" s="87">
        <v>24</v>
      </c>
      <c r="U198" s="418" t="s">
        <v>55</v>
      </c>
      <c r="V198" s="88" t="s">
        <v>403</v>
      </c>
      <c r="W198" s="547" t="s">
        <v>396</v>
      </c>
      <c r="X198" s="549">
        <v>0.97</v>
      </c>
      <c r="Y198" s="547" t="s">
        <v>395</v>
      </c>
      <c r="Z198" s="413"/>
    </row>
    <row r="199" spans="1:26" x14ac:dyDescent="0.25">
      <c r="A199" s="417" t="s">
        <v>33</v>
      </c>
      <c r="B199" s="441">
        <v>0</v>
      </c>
      <c r="C199" s="442">
        <v>0.02</v>
      </c>
      <c r="D199" s="442">
        <v>0.04</v>
      </c>
      <c r="E199" s="442">
        <v>0.62</v>
      </c>
      <c r="F199" s="442">
        <v>0.66</v>
      </c>
      <c r="G199" s="442">
        <v>0.68</v>
      </c>
      <c r="H199" s="442">
        <v>0.8</v>
      </c>
      <c r="I199" s="442">
        <v>0.84</v>
      </c>
      <c r="J199" s="442">
        <v>0.88</v>
      </c>
      <c r="K199" s="442">
        <v>0.92</v>
      </c>
      <c r="L199" s="442">
        <v>0.96</v>
      </c>
      <c r="M199" s="442">
        <v>1</v>
      </c>
      <c r="N199" s="442">
        <v>1.08</v>
      </c>
      <c r="O199" s="442">
        <v>2</v>
      </c>
      <c r="P199" s="442">
        <v>2</v>
      </c>
      <c r="Q199" s="442">
        <v>2</v>
      </c>
      <c r="R199" s="442">
        <v>2</v>
      </c>
      <c r="S199" s="442">
        <f t="shared" ref="S199:X200" si="69">R199</f>
        <v>2</v>
      </c>
      <c r="T199" s="442">
        <f t="shared" si="69"/>
        <v>2</v>
      </c>
      <c r="U199" s="442">
        <f t="shared" si="69"/>
        <v>2</v>
      </c>
      <c r="V199" s="442">
        <f t="shared" si="69"/>
        <v>2</v>
      </c>
      <c r="W199" s="442">
        <f t="shared" si="69"/>
        <v>2</v>
      </c>
      <c r="X199" s="442">
        <f t="shared" si="69"/>
        <v>2</v>
      </c>
      <c r="Y199" s="444">
        <v>1000</v>
      </c>
    </row>
    <row r="200" spans="1:26" x14ac:dyDescent="0.25">
      <c r="A200" s="434" t="s">
        <v>34</v>
      </c>
      <c r="B200" s="443">
        <v>0</v>
      </c>
      <c r="C200" s="433">
        <v>250</v>
      </c>
      <c r="D200" s="433">
        <v>210</v>
      </c>
      <c r="E200" s="433">
        <v>160</v>
      </c>
      <c r="F200" s="433">
        <v>150</v>
      </c>
      <c r="G200" s="433">
        <v>142</v>
      </c>
      <c r="H200" s="433">
        <v>62</v>
      </c>
      <c r="I200" s="433">
        <v>48</v>
      </c>
      <c r="J200" s="433">
        <v>34</v>
      </c>
      <c r="K200" s="433">
        <v>24</v>
      </c>
      <c r="L200" s="433">
        <v>15</v>
      </c>
      <c r="M200" s="433">
        <v>10</v>
      </c>
      <c r="N200" s="433">
        <v>0</v>
      </c>
      <c r="O200" s="433">
        <v>0</v>
      </c>
      <c r="P200" s="433">
        <v>0</v>
      </c>
      <c r="Q200" s="433">
        <v>0</v>
      </c>
      <c r="R200" s="433">
        <v>0</v>
      </c>
      <c r="S200" s="433">
        <f t="shared" si="69"/>
        <v>0</v>
      </c>
      <c r="T200" s="433">
        <f t="shared" si="69"/>
        <v>0</v>
      </c>
      <c r="U200" s="433">
        <f t="shared" si="69"/>
        <v>0</v>
      </c>
      <c r="V200" s="433">
        <f t="shared" si="69"/>
        <v>0</v>
      </c>
      <c r="W200" s="433">
        <f t="shared" si="69"/>
        <v>0</v>
      </c>
      <c r="X200" s="433">
        <f t="shared" si="69"/>
        <v>0</v>
      </c>
      <c r="Y200" s="439">
        <v>0</v>
      </c>
    </row>
    <row r="201" spans="1:26" ht="13.8" thickBot="1" x14ac:dyDescent="0.3">
      <c r="A201" s="435" t="s">
        <v>117</v>
      </c>
      <c r="B201" s="429">
        <f t="shared" ref="B201:X201" si="70">(C200+B200)*(C199-B199)/2</f>
        <v>2.5</v>
      </c>
      <c r="C201" s="430">
        <f t="shared" si="70"/>
        <v>4.6000000000000005</v>
      </c>
      <c r="D201" s="430">
        <f t="shared" si="70"/>
        <v>107.3</v>
      </c>
      <c r="E201" s="430">
        <f t="shared" si="70"/>
        <v>6.2000000000000055</v>
      </c>
      <c r="F201" s="430">
        <f t="shared" si="70"/>
        <v>2.9200000000000026</v>
      </c>
      <c r="G201" s="430">
        <f t="shared" si="70"/>
        <v>12.24</v>
      </c>
      <c r="H201" s="430">
        <f t="shared" si="70"/>
        <v>2.1999999999999957</v>
      </c>
      <c r="I201" s="430">
        <f t="shared" si="70"/>
        <v>1.6400000000000015</v>
      </c>
      <c r="J201" s="430">
        <f t="shared" si="70"/>
        <v>1.160000000000001</v>
      </c>
      <c r="K201" s="430">
        <f t="shared" si="70"/>
        <v>0.77999999999999847</v>
      </c>
      <c r="L201" s="430">
        <f t="shared" si="70"/>
        <v>0.50000000000000044</v>
      </c>
      <c r="M201" s="430">
        <f t="shared" si="70"/>
        <v>0.40000000000000036</v>
      </c>
      <c r="N201" s="430">
        <f t="shared" si="70"/>
        <v>0</v>
      </c>
      <c r="O201" s="430">
        <f t="shared" si="70"/>
        <v>0</v>
      </c>
      <c r="P201" s="430">
        <f t="shared" si="70"/>
        <v>0</v>
      </c>
      <c r="Q201" s="430">
        <f t="shared" si="70"/>
        <v>0</v>
      </c>
      <c r="R201" s="430">
        <f t="shared" si="70"/>
        <v>0</v>
      </c>
      <c r="S201" s="430">
        <f t="shared" si="70"/>
        <v>0</v>
      </c>
      <c r="T201" s="430">
        <f t="shared" si="70"/>
        <v>0</v>
      </c>
      <c r="U201" s="430">
        <f t="shared" si="70"/>
        <v>0</v>
      </c>
      <c r="V201" s="430">
        <f t="shared" si="70"/>
        <v>0</v>
      </c>
      <c r="W201" s="430">
        <f t="shared" si="70"/>
        <v>0</v>
      </c>
      <c r="X201" s="430">
        <f t="shared" si="70"/>
        <v>0</v>
      </c>
      <c r="Y201" s="424"/>
    </row>
    <row r="202" spans="1:26" ht="13.8" thickBot="1" x14ac:dyDescent="0.3">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row>
    <row r="203" spans="1:26" ht="13.8" thickBot="1" x14ac:dyDescent="0.3">
      <c r="A203" s="416" t="s">
        <v>540</v>
      </c>
      <c r="B203" s="414">
        <f>ROW(A203)</f>
        <v>203</v>
      </c>
      <c r="C203" s="418" t="s">
        <v>116</v>
      </c>
      <c r="D203" s="408">
        <f>SUM(B206:Y206)</f>
        <v>143.08845000000002</v>
      </c>
      <c r="E203" s="418" t="s">
        <v>115</v>
      </c>
      <c r="F203" s="409">
        <f>D203/g/J203</f>
        <v>168.23504721190514</v>
      </c>
      <c r="G203" s="418" t="s">
        <v>57</v>
      </c>
      <c r="H203" s="86">
        <v>0.17249999999999999</v>
      </c>
      <c r="I203" s="418" t="s">
        <v>272</v>
      </c>
      <c r="J203" s="410">
        <f>H203-L203</f>
        <v>8.6699999999999985E-2</v>
      </c>
      <c r="K203" s="418" t="s">
        <v>273</v>
      </c>
      <c r="L203" s="86">
        <v>8.5800000000000001E-2</v>
      </c>
      <c r="M203" s="418" t="s">
        <v>58</v>
      </c>
      <c r="N203" s="87">
        <v>114</v>
      </c>
      <c r="O203" s="418" t="s">
        <v>60</v>
      </c>
      <c r="P203" s="87">
        <v>114</v>
      </c>
      <c r="Q203" s="418" t="s">
        <v>61</v>
      </c>
      <c r="R203" s="87">
        <v>228</v>
      </c>
      <c r="S203" s="418" t="s">
        <v>62</v>
      </c>
      <c r="T203" s="87">
        <v>24</v>
      </c>
      <c r="U203" s="418" t="s">
        <v>55</v>
      </c>
      <c r="V203" s="88" t="s">
        <v>120</v>
      </c>
      <c r="W203" s="547" t="s">
        <v>396</v>
      </c>
      <c r="X203" s="549">
        <v>0.97</v>
      </c>
      <c r="Y203" s="547" t="s">
        <v>395</v>
      </c>
      <c r="Z203" s="413">
        <v>11</v>
      </c>
    </row>
    <row r="204" spans="1:26" x14ac:dyDescent="0.25">
      <c r="A204" s="417" t="s">
        <v>33</v>
      </c>
      <c r="B204" s="441">
        <v>0</v>
      </c>
      <c r="C204" s="442">
        <v>8.0000000000000002E-3</v>
      </c>
      <c r="D204" s="442">
        <v>1.2999999999999999E-2</v>
      </c>
      <c r="E204" s="442">
        <v>2.1999999999999999E-2</v>
      </c>
      <c r="F204" s="442">
        <v>3.5000000000000003E-2</v>
      </c>
      <c r="G204" s="442">
        <v>6.3E-2</v>
      </c>
      <c r="H204" s="442">
        <v>0.10299999999999999</v>
      </c>
      <c r="I204" s="442">
        <v>0.19600000000000001</v>
      </c>
      <c r="J204" s="442">
        <v>0.311</v>
      </c>
      <c r="K204" s="442">
        <v>0.47399999999999998</v>
      </c>
      <c r="L204" s="442">
        <v>0.56399999999999995</v>
      </c>
      <c r="M204" s="442">
        <v>0.76200000000000001</v>
      </c>
      <c r="N204" s="442">
        <v>0.85799999999999998</v>
      </c>
      <c r="O204" s="442">
        <v>0.92800000000000005</v>
      </c>
      <c r="P204" s="442">
        <v>1.038</v>
      </c>
      <c r="Q204" s="442">
        <v>1.08</v>
      </c>
      <c r="R204" s="442">
        <v>1.131</v>
      </c>
      <c r="S204" s="442">
        <v>1.1850000000000001</v>
      </c>
      <c r="T204" s="442">
        <v>1.224</v>
      </c>
      <c r="U204" s="442">
        <v>1.258</v>
      </c>
      <c r="V204" s="442">
        <v>1.4</v>
      </c>
      <c r="W204" s="442">
        <v>1.4410000000000001</v>
      </c>
      <c r="X204" s="442">
        <v>2</v>
      </c>
      <c r="Y204" s="444">
        <v>1000</v>
      </c>
    </row>
    <row r="205" spans="1:26" x14ac:dyDescent="0.25">
      <c r="A205" s="434" t="s">
        <v>34</v>
      </c>
      <c r="B205" s="443">
        <v>0</v>
      </c>
      <c r="C205" s="433">
        <v>168.643</v>
      </c>
      <c r="D205" s="433">
        <v>177.339</v>
      </c>
      <c r="E205" s="433">
        <v>177.86600000000001</v>
      </c>
      <c r="F205" s="433">
        <v>171.27799999999999</v>
      </c>
      <c r="G205" s="433">
        <v>157.839</v>
      </c>
      <c r="H205" s="433">
        <v>154.941</v>
      </c>
      <c r="I205" s="433">
        <v>148.88</v>
      </c>
      <c r="J205" s="433">
        <v>144.137</v>
      </c>
      <c r="K205" s="433">
        <v>138.07599999999999</v>
      </c>
      <c r="L205" s="433">
        <v>135.70500000000001</v>
      </c>
      <c r="M205" s="433">
        <v>125.955</v>
      </c>
      <c r="N205" s="433">
        <v>116.733</v>
      </c>
      <c r="O205" s="433">
        <v>101.71299999999999</v>
      </c>
      <c r="P205" s="433">
        <v>57.444000000000003</v>
      </c>
      <c r="Q205" s="433">
        <v>42.688000000000002</v>
      </c>
      <c r="R205" s="433">
        <v>31.884</v>
      </c>
      <c r="S205" s="433">
        <v>17.655000000000001</v>
      </c>
      <c r="T205" s="433">
        <v>9.4860000000000007</v>
      </c>
      <c r="U205" s="433">
        <v>5.27</v>
      </c>
      <c r="V205" s="433">
        <v>0.79100000000000004</v>
      </c>
      <c r="W205" s="433">
        <v>0</v>
      </c>
      <c r="X205" s="433">
        <f>W205</f>
        <v>0</v>
      </c>
      <c r="Y205" s="439">
        <v>0</v>
      </c>
    </row>
    <row r="206" spans="1:26" ht="13.8" thickBot="1" x14ac:dyDescent="0.3">
      <c r="A206" s="435" t="s">
        <v>117</v>
      </c>
      <c r="B206" s="429">
        <f t="shared" ref="B206:X206" si="71">(C205+B205)*(C204-B204)/2</f>
        <v>0.67457200000000006</v>
      </c>
      <c r="C206" s="430">
        <f t="shared" si="71"/>
        <v>0.86495499999999981</v>
      </c>
      <c r="D206" s="430">
        <f t="shared" si="71"/>
        <v>1.5984225000000001</v>
      </c>
      <c r="E206" s="430">
        <f t="shared" si="71"/>
        <v>2.2694360000000007</v>
      </c>
      <c r="F206" s="430">
        <f t="shared" si="71"/>
        <v>4.6076379999999988</v>
      </c>
      <c r="G206" s="430">
        <f t="shared" si="71"/>
        <v>6.2555999999999985</v>
      </c>
      <c r="H206" s="430">
        <f t="shared" si="71"/>
        <v>14.127676500000003</v>
      </c>
      <c r="I206" s="430">
        <f t="shared" si="71"/>
        <v>16.848477499999998</v>
      </c>
      <c r="J206" s="430">
        <f t="shared" si="71"/>
        <v>23.000359499999995</v>
      </c>
      <c r="K206" s="430">
        <f t="shared" si="71"/>
        <v>12.320144999999997</v>
      </c>
      <c r="L206" s="430">
        <f t="shared" si="71"/>
        <v>25.904340000000012</v>
      </c>
      <c r="M206" s="430">
        <f t="shared" si="71"/>
        <v>11.649023999999997</v>
      </c>
      <c r="N206" s="430">
        <f t="shared" si="71"/>
        <v>7.6456100000000067</v>
      </c>
      <c r="O206" s="430">
        <f t="shared" si="71"/>
        <v>8.7536349999999974</v>
      </c>
      <c r="P206" s="430">
        <f t="shared" si="71"/>
        <v>2.1027720000000021</v>
      </c>
      <c r="Q206" s="430">
        <f t="shared" si="71"/>
        <v>1.9015859999999976</v>
      </c>
      <c r="R206" s="430">
        <f t="shared" si="71"/>
        <v>1.3375530000000013</v>
      </c>
      <c r="S206" s="430">
        <f t="shared" si="71"/>
        <v>0.52924949999999904</v>
      </c>
      <c r="T206" s="430">
        <f t="shared" si="71"/>
        <v>0.25085200000000024</v>
      </c>
      <c r="U206" s="430">
        <f t="shared" si="71"/>
        <v>0.43033099999999969</v>
      </c>
      <c r="V206" s="430">
        <f t="shared" si="71"/>
        <v>1.621550000000006E-2</v>
      </c>
      <c r="W206" s="430">
        <f t="shared" si="71"/>
        <v>0</v>
      </c>
      <c r="X206" s="430">
        <f t="shared" si="71"/>
        <v>0</v>
      </c>
      <c r="Y206" s="424"/>
    </row>
    <row r="207" spans="1:26" ht="13.8" thickBot="1" x14ac:dyDescent="0.3">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row>
    <row r="208" spans="1:26" ht="13.8" thickBot="1" x14ac:dyDescent="0.3">
      <c r="A208" s="416" t="s">
        <v>539</v>
      </c>
      <c r="B208" s="414">
        <f>ROW(A208)</f>
        <v>208</v>
      </c>
      <c r="C208" s="418" t="s">
        <v>116</v>
      </c>
      <c r="D208" s="408">
        <f>SUM(B211:Y211)</f>
        <v>139.423417</v>
      </c>
      <c r="E208" s="418" t="s">
        <v>115</v>
      </c>
      <c r="F208" s="409">
        <f>D208/g/J208</f>
        <v>158.62027745922524</v>
      </c>
      <c r="G208" s="418" t="s">
        <v>57</v>
      </c>
      <c r="H208" s="86">
        <v>0.19450000000000001</v>
      </c>
      <c r="I208" s="418" t="s">
        <v>272</v>
      </c>
      <c r="J208" s="410">
        <f>H208-L208</f>
        <v>8.9600000000000013E-2</v>
      </c>
      <c r="K208" s="418" t="s">
        <v>273</v>
      </c>
      <c r="L208" s="86">
        <v>0.10489999999999999</v>
      </c>
      <c r="M208" s="418" t="s">
        <v>58</v>
      </c>
      <c r="N208" s="87">
        <v>114</v>
      </c>
      <c r="O208" s="418" t="s">
        <v>60</v>
      </c>
      <c r="P208" s="87">
        <v>144</v>
      </c>
      <c r="Q208" s="418" t="s">
        <v>61</v>
      </c>
      <c r="R208" s="87">
        <v>228</v>
      </c>
      <c r="S208" s="418" t="s">
        <v>62</v>
      </c>
      <c r="T208" s="87">
        <v>24</v>
      </c>
      <c r="U208" s="418" t="s">
        <v>55</v>
      </c>
      <c r="V208" s="88" t="s">
        <v>120</v>
      </c>
      <c r="W208" s="547" t="s">
        <v>396</v>
      </c>
      <c r="X208" s="549">
        <v>1.3</v>
      </c>
      <c r="Y208" s="547" t="s">
        <v>395</v>
      </c>
      <c r="Z208" s="413">
        <v>12</v>
      </c>
    </row>
    <row r="209" spans="1:26" x14ac:dyDescent="0.25">
      <c r="A209" s="417" t="s">
        <v>33</v>
      </c>
      <c r="B209" s="441">
        <v>0</v>
      </c>
      <c r="C209" s="442">
        <v>1.0999999999999999E-2</v>
      </c>
      <c r="D209" s="442">
        <v>2.1999999999999999E-2</v>
      </c>
      <c r="E209" s="442">
        <v>4.5999999999999999E-2</v>
      </c>
      <c r="F209" s="442">
        <v>8.1000000000000003E-2</v>
      </c>
      <c r="G209" s="442">
        <v>0.219</v>
      </c>
      <c r="H209" s="442">
        <v>0.253</v>
      </c>
      <c r="I209" s="442">
        <v>0.27400000000000002</v>
      </c>
      <c r="J209" s="442">
        <v>0.30499999999999999</v>
      </c>
      <c r="K209" s="442">
        <v>0.41199999999999998</v>
      </c>
      <c r="L209" s="442">
        <v>0.78900000000000003</v>
      </c>
      <c r="M209" s="442">
        <v>0.89900000000000002</v>
      </c>
      <c r="N209" s="442">
        <v>0.95299999999999996</v>
      </c>
      <c r="O209" s="442">
        <v>0.999</v>
      </c>
      <c r="P209" s="442">
        <v>1.03</v>
      </c>
      <c r="Q209" s="442">
        <v>1.0569999999999999</v>
      </c>
      <c r="R209" s="442">
        <v>1.1020000000000001</v>
      </c>
      <c r="S209" s="442">
        <v>1.1539999999999999</v>
      </c>
      <c r="T209" s="442">
        <v>1.1970000000000001</v>
      </c>
      <c r="U209" s="442">
        <v>1.2769999999999999</v>
      </c>
      <c r="V209" s="442">
        <v>1.335</v>
      </c>
      <c r="W209" s="442">
        <v>1.4510000000000001</v>
      </c>
      <c r="X209" s="442">
        <v>2</v>
      </c>
      <c r="Y209" s="444">
        <v>1000</v>
      </c>
    </row>
    <row r="210" spans="1:26" x14ac:dyDescent="0.25">
      <c r="A210" s="434" t="s">
        <v>34</v>
      </c>
      <c r="B210" s="443">
        <v>0</v>
      </c>
      <c r="C210" s="433">
        <v>198.41800000000001</v>
      </c>
      <c r="D210" s="433">
        <v>221.83500000000001</v>
      </c>
      <c r="E210" s="433">
        <v>212.65799999999999</v>
      </c>
      <c r="F210" s="433">
        <v>218.35400000000001</v>
      </c>
      <c r="G210" s="433">
        <v>204.43</v>
      </c>
      <c r="H210" s="433">
        <v>195.886</v>
      </c>
      <c r="I210" s="433">
        <v>183.54400000000001</v>
      </c>
      <c r="J210" s="433">
        <v>88.290999999999997</v>
      </c>
      <c r="K210" s="433">
        <v>93.671000000000006</v>
      </c>
      <c r="L210" s="433">
        <v>93.986999999999995</v>
      </c>
      <c r="M210" s="433">
        <v>91.138999999999996</v>
      </c>
      <c r="N210" s="433">
        <v>89.873000000000005</v>
      </c>
      <c r="O210" s="433">
        <v>87.025000000000006</v>
      </c>
      <c r="P210" s="433">
        <v>81.328999999999994</v>
      </c>
      <c r="Q210" s="433">
        <v>69.936999999999998</v>
      </c>
      <c r="R210" s="433">
        <v>54.113999999999997</v>
      </c>
      <c r="S210" s="433">
        <v>42.405000000000001</v>
      </c>
      <c r="T210" s="433">
        <v>31.646000000000001</v>
      </c>
      <c r="U210" s="433">
        <v>17.088999999999999</v>
      </c>
      <c r="V210" s="433">
        <v>9.81</v>
      </c>
      <c r="W210" s="433">
        <v>0</v>
      </c>
      <c r="X210" s="433">
        <v>0</v>
      </c>
      <c r="Y210" s="439">
        <v>0</v>
      </c>
    </row>
    <row r="211" spans="1:26" ht="13.8" thickBot="1" x14ac:dyDescent="0.3">
      <c r="A211" s="435" t="s">
        <v>117</v>
      </c>
      <c r="B211" s="429">
        <f t="shared" ref="B211:X211" si="72">(C210+B210)*(C209-B209)/2</f>
        <v>1.091299</v>
      </c>
      <c r="C211" s="430">
        <f t="shared" si="72"/>
        <v>2.3113915</v>
      </c>
      <c r="D211" s="430">
        <f t="shared" si="72"/>
        <v>5.2139160000000002</v>
      </c>
      <c r="E211" s="430">
        <f t="shared" si="72"/>
        <v>7.5427100000000005</v>
      </c>
      <c r="F211" s="430">
        <f t="shared" si="72"/>
        <v>29.172096000000003</v>
      </c>
      <c r="G211" s="430">
        <f t="shared" si="72"/>
        <v>6.8053720000000011</v>
      </c>
      <c r="H211" s="430">
        <f t="shared" si="72"/>
        <v>3.9840150000000034</v>
      </c>
      <c r="I211" s="430">
        <f t="shared" si="72"/>
        <v>4.2134424999999966</v>
      </c>
      <c r="J211" s="430">
        <f t="shared" si="72"/>
        <v>9.7349669999999975</v>
      </c>
      <c r="K211" s="430">
        <f t="shared" si="72"/>
        <v>35.373533000000009</v>
      </c>
      <c r="L211" s="430">
        <f t="shared" si="72"/>
        <v>10.181929999999998</v>
      </c>
      <c r="M211" s="430">
        <f t="shared" si="72"/>
        <v>4.8873239999999942</v>
      </c>
      <c r="N211" s="430">
        <f t="shared" si="72"/>
        <v>4.068654000000004</v>
      </c>
      <c r="O211" s="430">
        <f t="shared" si="72"/>
        <v>2.6094870000000019</v>
      </c>
      <c r="P211" s="430">
        <f t="shared" si="72"/>
        <v>2.0420909999999934</v>
      </c>
      <c r="Q211" s="430">
        <f t="shared" si="72"/>
        <v>2.791147500000009</v>
      </c>
      <c r="R211" s="430">
        <f t="shared" si="72"/>
        <v>2.5094939999999917</v>
      </c>
      <c r="S211" s="430">
        <f t="shared" si="72"/>
        <v>1.5920965000000056</v>
      </c>
      <c r="T211" s="430">
        <f t="shared" si="72"/>
        <v>1.9493999999999962</v>
      </c>
      <c r="U211" s="430">
        <f t="shared" si="72"/>
        <v>0.78007100000000074</v>
      </c>
      <c r="V211" s="430">
        <f t="shared" si="72"/>
        <v>0.56898000000000049</v>
      </c>
      <c r="W211" s="430">
        <f t="shared" si="72"/>
        <v>0</v>
      </c>
      <c r="X211" s="430">
        <f t="shared" si="72"/>
        <v>0</v>
      </c>
      <c r="Y211" s="424"/>
    </row>
    <row r="212" spans="1:26" ht="13.8" thickBot="1" x14ac:dyDescent="0.3">
      <c r="A212" s="492" t="s">
        <v>317</v>
      </c>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row>
    <row r="213" spans="1:26" ht="13.8" thickBot="1" x14ac:dyDescent="0.3">
      <c r="A213" s="416" t="s">
        <v>377</v>
      </c>
      <c r="B213" s="414">
        <f>ROW(A213)</f>
        <v>213</v>
      </c>
      <c r="C213" s="418" t="s">
        <v>116</v>
      </c>
      <c r="D213" s="408">
        <f>SUM(B216:Y216)</f>
        <v>82.798500000000018</v>
      </c>
      <c r="E213" s="418" t="s">
        <v>115</v>
      </c>
      <c r="F213" s="409">
        <f>D213/g/J213</f>
        <v>131.87834480122325</v>
      </c>
      <c r="G213" s="418" t="s">
        <v>57</v>
      </c>
      <c r="H213" s="86">
        <v>0.152</v>
      </c>
      <c r="I213" s="418" t="s">
        <v>272</v>
      </c>
      <c r="J213" s="410">
        <f>H213-L213</f>
        <v>6.4000000000000001E-2</v>
      </c>
      <c r="K213" s="418" t="s">
        <v>273</v>
      </c>
      <c r="L213" s="86">
        <v>8.7999999999999995E-2</v>
      </c>
      <c r="M213" s="418" t="s">
        <v>58</v>
      </c>
      <c r="N213" s="87">
        <v>71</v>
      </c>
      <c r="O213" s="418" t="s">
        <v>60</v>
      </c>
      <c r="P213" s="87">
        <v>71</v>
      </c>
      <c r="Q213" s="418" t="s">
        <v>61</v>
      </c>
      <c r="R213" s="87">
        <v>142</v>
      </c>
      <c r="S213" s="418" t="s">
        <v>62</v>
      </c>
      <c r="T213" s="87">
        <v>29</v>
      </c>
      <c r="U213" s="418" t="s">
        <v>55</v>
      </c>
      <c r="V213" s="88" t="s">
        <v>120</v>
      </c>
      <c r="W213" s="547" t="s">
        <v>396</v>
      </c>
      <c r="X213" s="549">
        <v>0.96</v>
      </c>
      <c r="Y213" s="547" t="s">
        <v>395</v>
      </c>
      <c r="Z213" s="413">
        <v>11</v>
      </c>
    </row>
    <row r="214" spans="1:26" x14ac:dyDescent="0.25">
      <c r="A214" s="417" t="s">
        <v>33</v>
      </c>
      <c r="B214" s="441">
        <v>0</v>
      </c>
      <c r="C214" s="442">
        <v>0.02</v>
      </c>
      <c r="D214" s="442">
        <v>0.03</v>
      </c>
      <c r="E214" s="442">
        <v>0.04</v>
      </c>
      <c r="F214" s="442">
        <v>0.06</v>
      </c>
      <c r="G214" s="442">
        <v>0.08</v>
      </c>
      <c r="H214" s="442">
        <v>0.15</v>
      </c>
      <c r="I214" s="442">
        <v>0.18</v>
      </c>
      <c r="J214" s="442">
        <v>0.2</v>
      </c>
      <c r="K214" s="442">
        <v>0.3</v>
      </c>
      <c r="L214" s="442">
        <v>0.4</v>
      </c>
      <c r="M214" s="442">
        <v>0.5</v>
      </c>
      <c r="N214" s="442">
        <v>0.6</v>
      </c>
      <c r="O214" s="442">
        <v>0.7</v>
      </c>
      <c r="P214" s="442">
        <v>0.82</v>
      </c>
      <c r="Q214" s="442">
        <v>0.93</v>
      </c>
      <c r="R214" s="442">
        <v>1</v>
      </c>
      <c r="S214" s="442">
        <f t="shared" ref="S214:X215" si="73">R214</f>
        <v>1</v>
      </c>
      <c r="T214" s="442">
        <f t="shared" si="73"/>
        <v>1</v>
      </c>
      <c r="U214" s="442">
        <f t="shared" si="73"/>
        <v>1</v>
      </c>
      <c r="V214" s="442">
        <f t="shared" si="73"/>
        <v>1</v>
      </c>
      <c r="W214" s="442">
        <f t="shared" si="73"/>
        <v>1</v>
      </c>
      <c r="X214" s="442">
        <v>2</v>
      </c>
      <c r="Y214" s="444">
        <v>1000</v>
      </c>
    </row>
    <row r="215" spans="1:26" x14ac:dyDescent="0.25">
      <c r="A215" s="434" t="s">
        <v>34</v>
      </c>
      <c r="B215" s="443">
        <v>0</v>
      </c>
      <c r="C215" s="433">
        <v>41.9</v>
      </c>
      <c r="D215" s="433">
        <v>92.1</v>
      </c>
      <c r="E215" s="433">
        <v>116.7</v>
      </c>
      <c r="F215" s="433">
        <v>112.7</v>
      </c>
      <c r="G215" s="433">
        <v>82.7</v>
      </c>
      <c r="H215" s="433">
        <v>84.7</v>
      </c>
      <c r="I215" s="433">
        <v>86.2</v>
      </c>
      <c r="J215" s="433">
        <v>87.9</v>
      </c>
      <c r="K215" s="433">
        <v>90.9</v>
      </c>
      <c r="L215" s="433">
        <v>93.9</v>
      </c>
      <c r="M215" s="433">
        <v>95.3</v>
      </c>
      <c r="N215" s="433">
        <v>96.8</v>
      </c>
      <c r="O215" s="433">
        <v>97.6</v>
      </c>
      <c r="P215" s="433">
        <v>108.2</v>
      </c>
      <c r="Q215" s="433">
        <v>11</v>
      </c>
      <c r="R215" s="433">
        <v>0</v>
      </c>
      <c r="S215" s="433">
        <f t="shared" si="73"/>
        <v>0</v>
      </c>
      <c r="T215" s="433">
        <f t="shared" si="73"/>
        <v>0</v>
      </c>
      <c r="U215" s="433">
        <f t="shared" si="73"/>
        <v>0</v>
      </c>
      <c r="V215" s="433">
        <f t="shared" si="73"/>
        <v>0</v>
      </c>
      <c r="W215" s="433">
        <f t="shared" si="73"/>
        <v>0</v>
      </c>
      <c r="X215" s="433">
        <f t="shared" si="73"/>
        <v>0</v>
      </c>
      <c r="Y215" s="439">
        <v>0</v>
      </c>
    </row>
    <row r="216" spans="1:26" ht="13.8" thickBot="1" x14ac:dyDescent="0.3">
      <c r="A216" s="435" t="s">
        <v>117</v>
      </c>
      <c r="B216" s="429">
        <f t="shared" ref="B216:V216" si="74">(C215+B215)*(C214-B214)/2</f>
        <v>0.41899999999999998</v>
      </c>
      <c r="C216" s="430">
        <f t="shared" si="74"/>
        <v>0.66999999999999993</v>
      </c>
      <c r="D216" s="430">
        <f t="shared" si="74"/>
        <v>1.0440000000000003</v>
      </c>
      <c r="E216" s="430">
        <f t="shared" si="74"/>
        <v>2.2939999999999996</v>
      </c>
      <c r="F216" s="430">
        <f t="shared" si="74"/>
        <v>1.9540000000000004</v>
      </c>
      <c r="G216" s="430">
        <f t="shared" si="74"/>
        <v>5.859</v>
      </c>
      <c r="H216" s="430">
        <f t="shared" si="74"/>
        <v>2.5634999999999999</v>
      </c>
      <c r="I216" s="430">
        <f t="shared" si="74"/>
        <v>1.7410000000000019</v>
      </c>
      <c r="J216" s="430">
        <f>(K215+J215)*(K214-J214)/2</f>
        <v>8.9399999999999977</v>
      </c>
      <c r="K216" s="430">
        <f t="shared" si="74"/>
        <v>9.2400000000000038</v>
      </c>
      <c r="L216" s="430">
        <f t="shared" si="74"/>
        <v>9.4599999999999973</v>
      </c>
      <c r="M216" s="430">
        <f t="shared" si="74"/>
        <v>9.6049999999999969</v>
      </c>
      <c r="N216" s="430">
        <f t="shared" si="74"/>
        <v>9.7199999999999971</v>
      </c>
      <c r="O216" s="430">
        <f t="shared" si="74"/>
        <v>12.348000000000001</v>
      </c>
      <c r="P216" s="430">
        <f t="shared" si="74"/>
        <v>6.5560000000000063</v>
      </c>
      <c r="Q216" s="430">
        <f t="shared" si="74"/>
        <v>0.38499999999999973</v>
      </c>
      <c r="R216" s="430">
        <f t="shared" si="74"/>
        <v>0</v>
      </c>
      <c r="S216" s="430">
        <f>(T215+S215)*(T214-S214)/2</f>
        <v>0</v>
      </c>
      <c r="T216" s="430">
        <f t="shared" si="74"/>
        <v>0</v>
      </c>
      <c r="U216" s="430">
        <f t="shared" si="74"/>
        <v>0</v>
      </c>
      <c r="V216" s="430">
        <f t="shared" si="74"/>
        <v>0</v>
      </c>
      <c r="W216" s="430">
        <f>(X215+W215)*(X214-W214)/2</f>
        <v>0</v>
      </c>
      <c r="X216" s="430">
        <f>(Y215+X215)*(Y214-X214)/2</f>
        <v>0</v>
      </c>
      <c r="Y216" s="424"/>
    </row>
    <row r="217" spans="1:26" ht="13.8" thickBot="1" x14ac:dyDescent="0.3">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row>
    <row r="218" spans="1:26" ht="13.8" thickBot="1" x14ac:dyDescent="0.3">
      <c r="A218" s="416" t="s">
        <v>378</v>
      </c>
      <c r="B218" s="414">
        <f>ROW(A218)</f>
        <v>218</v>
      </c>
      <c r="C218" s="418" t="s">
        <v>116</v>
      </c>
      <c r="D218" s="408">
        <f>SUM(B221:Y221)</f>
        <v>98.257101163036367</v>
      </c>
      <c r="E218" s="418" t="s">
        <v>115</v>
      </c>
      <c r="F218" s="409">
        <f>D218/g/J218</f>
        <v>177.58890761893778</v>
      </c>
      <c r="G218" s="418" t="s">
        <v>57</v>
      </c>
      <c r="H218" s="86">
        <v>0.14319999999999999</v>
      </c>
      <c r="I218" s="418" t="s">
        <v>272</v>
      </c>
      <c r="J218" s="410">
        <f>H218-L218</f>
        <v>5.6399999999999992E-2</v>
      </c>
      <c r="K218" s="418" t="s">
        <v>273</v>
      </c>
      <c r="L218" s="86">
        <v>8.6800000000000002E-2</v>
      </c>
      <c r="M218" s="418" t="s">
        <v>58</v>
      </c>
      <c r="N218" s="87">
        <v>71</v>
      </c>
      <c r="O218" s="418" t="s">
        <v>60</v>
      </c>
      <c r="P218" s="87">
        <v>71</v>
      </c>
      <c r="Q218" s="418" t="s">
        <v>61</v>
      </c>
      <c r="R218" s="87">
        <v>142</v>
      </c>
      <c r="S218" s="418" t="s">
        <v>62</v>
      </c>
      <c r="T218" s="87">
        <v>29</v>
      </c>
      <c r="U218" s="418" t="s">
        <v>55</v>
      </c>
      <c r="V218" s="88" t="s">
        <v>120</v>
      </c>
      <c r="W218" s="547" t="s">
        <v>396</v>
      </c>
      <c r="X218" s="549">
        <v>1.1499999999999999</v>
      </c>
      <c r="Y218" s="547" t="s">
        <v>395</v>
      </c>
      <c r="Z218" s="413">
        <v>14</v>
      </c>
    </row>
    <row r="219" spans="1:26" x14ac:dyDescent="0.25">
      <c r="A219" s="417" t="s">
        <v>33</v>
      </c>
      <c r="B219" s="441">
        <v>0</v>
      </c>
      <c r="C219" s="442">
        <v>1.4999999999999999E-2</v>
      </c>
      <c r="D219" s="442">
        <v>0.03</v>
      </c>
      <c r="E219" s="442">
        <v>4.4999999999999998E-2</v>
      </c>
      <c r="F219" s="442">
        <v>0.06</v>
      </c>
      <c r="G219" s="442">
        <v>7.4999999999999997E-2</v>
      </c>
      <c r="H219" s="442">
        <v>0.09</v>
      </c>
      <c r="I219" s="442">
        <v>0.105</v>
      </c>
      <c r="J219" s="442">
        <v>0.12</v>
      </c>
      <c r="K219" s="442">
        <v>0.18</v>
      </c>
      <c r="L219" s="442">
        <v>0.24</v>
      </c>
      <c r="M219" s="442">
        <v>0.3</v>
      </c>
      <c r="N219" s="442">
        <v>0.48</v>
      </c>
      <c r="O219" s="442">
        <v>0.6</v>
      </c>
      <c r="P219" s="442">
        <v>0.66</v>
      </c>
      <c r="Q219" s="442">
        <v>0.72</v>
      </c>
      <c r="R219" s="442">
        <v>0.78</v>
      </c>
      <c r="S219" s="442">
        <v>0.84</v>
      </c>
      <c r="T219" s="442">
        <v>0.9</v>
      </c>
      <c r="U219" s="442">
        <v>0.96</v>
      </c>
      <c r="V219" s="442">
        <v>1.0349999999999999</v>
      </c>
      <c r="W219" s="442">
        <v>1.2</v>
      </c>
      <c r="X219" s="442">
        <v>2</v>
      </c>
      <c r="Y219" s="444">
        <v>1000</v>
      </c>
    </row>
    <row r="220" spans="1:26" x14ac:dyDescent="0.25">
      <c r="A220" s="434" t="s">
        <v>34</v>
      </c>
      <c r="B220" s="443">
        <v>0</v>
      </c>
      <c r="C220" s="431">
        <v>99.328788958822486</v>
      </c>
      <c r="D220" s="431">
        <v>109.07039432469</v>
      </c>
      <c r="E220" s="431">
        <v>65.255411286427503</v>
      </c>
      <c r="F220" s="431">
        <v>67.568486533117493</v>
      </c>
      <c r="G220" s="431">
        <v>73.929443461515007</v>
      </c>
      <c r="H220" s="431">
        <v>74.329783408057494</v>
      </c>
      <c r="I220" s="431">
        <v>78.1552540083525</v>
      </c>
      <c r="J220" s="431">
        <v>78.600076171177506</v>
      </c>
      <c r="K220" s="431">
        <v>82.203135690059995</v>
      </c>
      <c r="L220" s="431">
        <v>84.516210936749999</v>
      </c>
      <c r="M220" s="431">
        <v>88.51961040217499</v>
      </c>
      <c r="N220" s="431">
        <v>95.102978411984992</v>
      </c>
      <c r="O220" s="431">
        <v>95.547800574809997</v>
      </c>
      <c r="P220" s="431">
        <v>94.480227384029988</v>
      </c>
      <c r="Q220" s="431">
        <v>92.122669921057494</v>
      </c>
      <c r="R220" s="431">
        <v>90.743721216299988</v>
      </c>
      <c r="S220" s="431">
        <v>88.964432564999996</v>
      </c>
      <c r="T220" s="431">
        <v>85.405855262399996</v>
      </c>
      <c r="U220" s="431">
        <v>83.448637745970004</v>
      </c>
      <c r="V220" s="431">
        <v>88.074788239349999</v>
      </c>
      <c r="W220" s="431">
        <v>0</v>
      </c>
      <c r="X220" s="433">
        <v>0</v>
      </c>
      <c r="Y220" s="439">
        <v>0</v>
      </c>
    </row>
    <row r="221" spans="1:26" ht="13.8" thickBot="1" x14ac:dyDescent="0.3">
      <c r="A221" s="435" t="s">
        <v>117</v>
      </c>
      <c r="B221" s="429">
        <f t="shared" ref="B221:V221" si="75">(C220+B220)*(C219-B219)/2</f>
        <v>0.74496591719116867</v>
      </c>
      <c r="C221" s="430">
        <f t="shared" si="75"/>
        <v>1.5629938746263436</v>
      </c>
      <c r="D221" s="430">
        <f t="shared" si="75"/>
        <v>1.3074435420833814</v>
      </c>
      <c r="E221" s="430">
        <f t="shared" si="75"/>
        <v>0.99617923364658734</v>
      </c>
      <c r="F221" s="430">
        <f t="shared" si="75"/>
        <v>1.0612344749597438</v>
      </c>
      <c r="G221" s="430">
        <f t="shared" si="75"/>
        <v>1.1119442015217937</v>
      </c>
      <c r="H221" s="430">
        <f t="shared" si="75"/>
        <v>1.1436377806230749</v>
      </c>
      <c r="I221" s="430">
        <f t="shared" si="75"/>
        <v>1.175664976346475</v>
      </c>
      <c r="J221" s="430">
        <f>(K220+J220)*(K219-J219)/2</f>
        <v>4.824096355837125</v>
      </c>
      <c r="K221" s="430">
        <f t="shared" si="75"/>
        <v>5.0015803988042995</v>
      </c>
      <c r="L221" s="430">
        <f t="shared" si="75"/>
        <v>5.1910746401677494</v>
      </c>
      <c r="M221" s="430">
        <f t="shared" si="75"/>
        <v>16.526032993274399</v>
      </c>
      <c r="N221" s="430">
        <f t="shared" si="75"/>
        <v>11.439046739207699</v>
      </c>
      <c r="O221" s="430">
        <f t="shared" si="75"/>
        <v>5.7008408387652043</v>
      </c>
      <c r="P221" s="430">
        <f t="shared" si="75"/>
        <v>5.5980869191526192</v>
      </c>
      <c r="Q221" s="430">
        <f t="shared" si="75"/>
        <v>5.4859917341207289</v>
      </c>
      <c r="R221" s="430">
        <f t="shared" si="75"/>
        <v>5.3912446134389942</v>
      </c>
      <c r="S221" s="430">
        <f>(T220+S220)*(T219-S219)/2</f>
        <v>5.2311086348220037</v>
      </c>
      <c r="T221" s="430">
        <f t="shared" si="75"/>
        <v>5.0656347902510959</v>
      </c>
      <c r="U221" s="430">
        <f t="shared" si="75"/>
        <v>6.4321284744494962</v>
      </c>
      <c r="V221" s="430">
        <f t="shared" si="75"/>
        <v>7.2661700297463767</v>
      </c>
      <c r="W221" s="430">
        <f>(X220+W220)*(X219-W219)/2</f>
        <v>0</v>
      </c>
      <c r="X221" s="430">
        <f>(Y220+X220)*(Y219-X219)/2</f>
        <v>0</v>
      </c>
      <c r="Y221" s="424"/>
    </row>
    <row r="222" spans="1:26" ht="13.8" thickBot="1" x14ac:dyDescent="0.3">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row>
    <row r="223" spans="1:26" ht="13.8" thickBot="1" x14ac:dyDescent="0.3">
      <c r="A223" s="416" t="s">
        <v>379</v>
      </c>
      <c r="B223" s="414">
        <f>ROW(A223)</f>
        <v>223</v>
      </c>
      <c r="C223" s="418" t="s">
        <v>116</v>
      </c>
      <c r="D223" s="408">
        <f>SUM(B226:Y226)</f>
        <v>109.60639850000001</v>
      </c>
      <c r="E223" s="418" t="s">
        <v>115</v>
      </c>
      <c r="F223" s="409">
        <f>D223/g/J223</f>
        <v>194.31174666489383</v>
      </c>
      <c r="G223" s="418" t="s">
        <v>57</v>
      </c>
      <c r="H223" s="86">
        <v>0.14130000000000001</v>
      </c>
      <c r="I223" s="418" t="s">
        <v>272</v>
      </c>
      <c r="J223" s="410">
        <f>H223-L223</f>
        <v>5.7500000000000009E-2</v>
      </c>
      <c r="K223" s="418" t="s">
        <v>273</v>
      </c>
      <c r="L223" s="86">
        <v>8.3799999999999999E-2</v>
      </c>
      <c r="M223" s="418" t="s">
        <v>58</v>
      </c>
      <c r="N223" s="87">
        <v>71</v>
      </c>
      <c r="O223" s="418" t="s">
        <v>60</v>
      </c>
      <c r="P223" s="87">
        <v>71</v>
      </c>
      <c r="Q223" s="418" t="s">
        <v>61</v>
      </c>
      <c r="R223" s="87">
        <v>142</v>
      </c>
      <c r="S223" s="418" t="s">
        <v>62</v>
      </c>
      <c r="T223" s="87">
        <v>29</v>
      </c>
      <c r="U223" s="418" t="s">
        <v>55</v>
      </c>
      <c r="V223" s="88" t="s">
        <v>403</v>
      </c>
      <c r="W223" s="547" t="s">
        <v>396</v>
      </c>
      <c r="X223" s="549">
        <v>0.45</v>
      </c>
      <c r="Y223" s="547" t="s">
        <v>395</v>
      </c>
      <c r="Z223" s="413">
        <v>14</v>
      </c>
    </row>
    <row r="224" spans="1:26" x14ac:dyDescent="0.25">
      <c r="A224" s="417" t="s">
        <v>33</v>
      </c>
      <c r="B224" s="441">
        <v>0</v>
      </c>
      <c r="C224" s="442">
        <v>6.0000000000000001E-3</v>
      </c>
      <c r="D224" s="442">
        <v>1.0999999999999999E-2</v>
      </c>
      <c r="E224" s="442">
        <v>1.6E-2</v>
      </c>
      <c r="F224" s="442">
        <v>3.1E-2</v>
      </c>
      <c r="G224" s="442">
        <v>7.4999999999999997E-2</v>
      </c>
      <c r="H224" s="442">
        <v>0.122</v>
      </c>
      <c r="I224" s="442">
        <v>0.216</v>
      </c>
      <c r="J224" s="442">
        <v>0.25</v>
      </c>
      <c r="K224" s="442">
        <v>0.28699999999999998</v>
      </c>
      <c r="L224" s="442">
        <v>0.35399999999999998</v>
      </c>
      <c r="M224" s="442">
        <v>0.374</v>
      </c>
      <c r="N224" s="442">
        <v>0.4</v>
      </c>
      <c r="O224" s="442">
        <v>0.41299999999999998</v>
      </c>
      <c r="P224" s="442">
        <v>0.42</v>
      </c>
      <c r="Q224" s="442">
        <v>0.433</v>
      </c>
      <c r="R224" s="442">
        <v>0.44500000000000001</v>
      </c>
      <c r="S224" s="442">
        <v>0.45400000000000001</v>
      </c>
      <c r="T224" s="442">
        <f t="shared" ref="T224:X225" si="76">S224</f>
        <v>0.45400000000000001</v>
      </c>
      <c r="U224" s="442">
        <f t="shared" si="76"/>
        <v>0.45400000000000001</v>
      </c>
      <c r="V224" s="442">
        <f t="shared" si="76"/>
        <v>0.45400000000000001</v>
      </c>
      <c r="W224" s="442">
        <f t="shared" si="76"/>
        <v>0.45400000000000001</v>
      </c>
      <c r="X224" s="442">
        <v>2</v>
      </c>
      <c r="Y224" s="444">
        <v>1000</v>
      </c>
    </row>
    <row r="225" spans="1:26" x14ac:dyDescent="0.25">
      <c r="A225" s="434" t="s">
        <v>34</v>
      </c>
      <c r="B225" s="443">
        <v>0</v>
      </c>
      <c r="C225" s="433">
        <v>151.62100000000001</v>
      </c>
      <c r="D225" s="433">
        <v>198.07900000000001</v>
      </c>
      <c r="E225" s="433">
        <v>203.12100000000001</v>
      </c>
      <c r="F225" s="433">
        <v>201.68100000000001</v>
      </c>
      <c r="G225" s="433">
        <v>226.17</v>
      </c>
      <c r="H225" s="433">
        <v>250.3</v>
      </c>
      <c r="I225" s="433">
        <v>280.19200000000001</v>
      </c>
      <c r="J225" s="433">
        <v>287.03500000000003</v>
      </c>
      <c r="K225" s="433">
        <v>284.87400000000002</v>
      </c>
      <c r="L225" s="433">
        <v>269.74799999999999</v>
      </c>
      <c r="M225" s="433">
        <v>258.58300000000003</v>
      </c>
      <c r="N225" s="433">
        <v>233.37299999999999</v>
      </c>
      <c r="O225" s="433">
        <v>234.09399999999999</v>
      </c>
      <c r="P225" s="433">
        <v>227.61099999999999</v>
      </c>
      <c r="Q225" s="433">
        <v>137.935</v>
      </c>
      <c r="R225" s="433">
        <v>33.853999999999999</v>
      </c>
      <c r="S225" s="433">
        <v>0</v>
      </c>
      <c r="T225" s="433">
        <f t="shared" si="76"/>
        <v>0</v>
      </c>
      <c r="U225" s="433">
        <f t="shared" si="76"/>
        <v>0</v>
      </c>
      <c r="V225" s="433">
        <f t="shared" si="76"/>
        <v>0</v>
      </c>
      <c r="W225" s="433">
        <f t="shared" si="76"/>
        <v>0</v>
      </c>
      <c r="X225" s="433">
        <f t="shared" si="76"/>
        <v>0</v>
      </c>
      <c r="Y225" s="439">
        <v>0</v>
      </c>
    </row>
    <row r="226" spans="1:26" ht="13.8" thickBot="1" x14ac:dyDescent="0.3">
      <c r="A226" s="435" t="s">
        <v>117</v>
      </c>
      <c r="B226" s="429">
        <f t="shared" ref="B226:X226" si="77">(C225+B225)*(C224-B224)/2</f>
        <v>0.45486300000000002</v>
      </c>
      <c r="C226" s="430">
        <f t="shared" si="77"/>
        <v>0.87424999999999997</v>
      </c>
      <c r="D226" s="430">
        <f t="shared" si="77"/>
        <v>1.0030000000000003</v>
      </c>
      <c r="E226" s="430">
        <f t="shared" si="77"/>
        <v>3.0360149999999999</v>
      </c>
      <c r="F226" s="430">
        <f t="shared" si="77"/>
        <v>9.4127219999999987</v>
      </c>
      <c r="G226" s="430">
        <f t="shared" si="77"/>
        <v>11.197045000000001</v>
      </c>
      <c r="H226" s="430">
        <f t="shared" si="77"/>
        <v>24.933123999999999</v>
      </c>
      <c r="I226" s="430">
        <f t="shared" si="77"/>
        <v>9.6428590000000014</v>
      </c>
      <c r="J226" s="430">
        <f t="shared" si="77"/>
        <v>10.580316499999995</v>
      </c>
      <c r="K226" s="430">
        <f t="shared" si="77"/>
        <v>18.579837000000005</v>
      </c>
      <c r="L226" s="430">
        <f t="shared" si="77"/>
        <v>5.2833100000000046</v>
      </c>
      <c r="M226" s="430">
        <f t="shared" si="77"/>
        <v>6.3954280000000061</v>
      </c>
      <c r="N226" s="430">
        <f t="shared" si="77"/>
        <v>3.0385354999999898</v>
      </c>
      <c r="O226" s="430">
        <f t="shared" si="77"/>
        <v>1.6159675000000013</v>
      </c>
      <c r="P226" s="430">
        <f t="shared" si="77"/>
        <v>2.3760490000000019</v>
      </c>
      <c r="Q226" s="430">
        <f t="shared" si="77"/>
        <v>1.0307340000000009</v>
      </c>
      <c r="R226" s="430">
        <f t="shared" si="77"/>
        <v>0.15234300000000014</v>
      </c>
      <c r="S226" s="430">
        <f t="shared" si="77"/>
        <v>0</v>
      </c>
      <c r="T226" s="430">
        <f t="shared" si="77"/>
        <v>0</v>
      </c>
      <c r="U226" s="430">
        <f t="shared" si="77"/>
        <v>0</v>
      </c>
      <c r="V226" s="430">
        <f t="shared" si="77"/>
        <v>0</v>
      </c>
      <c r="W226" s="430">
        <f t="shared" si="77"/>
        <v>0</v>
      </c>
      <c r="X226" s="430">
        <f t="shared" si="77"/>
        <v>0</v>
      </c>
      <c r="Y226" s="424"/>
    </row>
    <row r="227" spans="1:26" ht="13.8" thickBot="1" x14ac:dyDescent="0.3">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row>
    <row r="228" spans="1:26" ht="13.8" thickBot="1" x14ac:dyDescent="0.3">
      <c r="A228" s="416" t="s">
        <v>380</v>
      </c>
      <c r="B228" s="414">
        <f>ROW(A228)</f>
        <v>228</v>
      </c>
      <c r="C228" s="418" t="s">
        <v>116</v>
      </c>
      <c r="D228" s="408">
        <f>SUM(B231:Y231)</f>
        <v>115.63</v>
      </c>
      <c r="E228" s="418" t="s">
        <v>115</v>
      </c>
      <c r="F228" s="409">
        <f>D228/g/J228</f>
        <v>199.77884897804037</v>
      </c>
      <c r="G228" s="418" t="s">
        <v>57</v>
      </c>
      <c r="H228" s="86">
        <v>0.14499999999999999</v>
      </c>
      <c r="I228" s="418" t="s">
        <v>272</v>
      </c>
      <c r="J228" s="410">
        <f>H228-L228</f>
        <v>5.8999999999999997E-2</v>
      </c>
      <c r="K228" s="418" t="s">
        <v>273</v>
      </c>
      <c r="L228" s="86">
        <v>8.5999999999999993E-2</v>
      </c>
      <c r="M228" s="418" t="s">
        <v>58</v>
      </c>
      <c r="N228" s="87">
        <v>71</v>
      </c>
      <c r="O228" s="418" t="s">
        <v>60</v>
      </c>
      <c r="P228" s="87">
        <v>71</v>
      </c>
      <c r="Q228" s="418" t="s">
        <v>61</v>
      </c>
      <c r="R228" s="87">
        <v>142</v>
      </c>
      <c r="S228" s="418" t="s">
        <v>62</v>
      </c>
      <c r="T228" s="87">
        <v>29</v>
      </c>
      <c r="U228" s="418" t="s">
        <v>55</v>
      </c>
      <c r="V228" s="88" t="s">
        <v>402</v>
      </c>
      <c r="W228" s="547" t="s">
        <v>396</v>
      </c>
      <c r="X228" s="549">
        <v>0.93</v>
      </c>
      <c r="Y228" s="547" t="s">
        <v>395</v>
      </c>
      <c r="Z228" s="413">
        <v>13</v>
      </c>
    </row>
    <row r="229" spans="1:26" x14ac:dyDescent="0.25">
      <c r="A229" s="417" t="s">
        <v>33</v>
      </c>
      <c r="B229" s="441">
        <v>0</v>
      </c>
      <c r="C229" s="442">
        <v>0.01</v>
      </c>
      <c r="D229" s="442">
        <v>0.02</v>
      </c>
      <c r="E229" s="442">
        <v>0.03</v>
      </c>
      <c r="F229" s="442">
        <v>0.04</v>
      </c>
      <c r="G229" s="442">
        <v>0.05</v>
      </c>
      <c r="H229" s="442">
        <v>0.1</v>
      </c>
      <c r="I229" s="442">
        <v>0.2</v>
      </c>
      <c r="J229" s="442">
        <v>0.3</v>
      </c>
      <c r="K229" s="442">
        <v>0.4</v>
      </c>
      <c r="L229" s="442">
        <v>0.6</v>
      </c>
      <c r="M229" s="442">
        <v>0.75</v>
      </c>
      <c r="N229" s="442">
        <v>0.81</v>
      </c>
      <c r="O229" s="442">
        <v>0.86</v>
      </c>
      <c r="P229" s="442">
        <v>0.9</v>
      </c>
      <c r="Q229" s="442">
        <v>0.95</v>
      </c>
      <c r="R229" s="442">
        <v>1</v>
      </c>
      <c r="S229" s="442">
        <v>1</v>
      </c>
      <c r="T229" s="442">
        <v>1</v>
      </c>
      <c r="U229" s="442">
        <v>1</v>
      </c>
      <c r="V229" s="442">
        <v>1</v>
      </c>
      <c r="W229" s="442">
        <v>1</v>
      </c>
      <c r="X229" s="442">
        <v>2</v>
      </c>
      <c r="Y229" s="444">
        <v>1000</v>
      </c>
    </row>
    <row r="230" spans="1:26" x14ac:dyDescent="0.25">
      <c r="A230" s="434" t="s">
        <v>34</v>
      </c>
      <c r="B230" s="443">
        <v>0</v>
      </c>
      <c r="C230" s="431">
        <v>55</v>
      </c>
      <c r="D230" s="431">
        <v>168</v>
      </c>
      <c r="E230" s="431">
        <v>157</v>
      </c>
      <c r="F230" s="431">
        <v>148</v>
      </c>
      <c r="G230" s="431">
        <v>125</v>
      </c>
      <c r="H230" s="431">
        <v>135</v>
      </c>
      <c r="I230" s="431">
        <v>141</v>
      </c>
      <c r="J230" s="431">
        <v>142</v>
      </c>
      <c r="K230" s="431">
        <v>141</v>
      </c>
      <c r="L230" s="431">
        <v>133</v>
      </c>
      <c r="M230" s="431">
        <v>127</v>
      </c>
      <c r="N230" s="431">
        <v>128</v>
      </c>
      <c r="O230" s="431">
        <v>60</v>
      </c>
      <c r="P230" s="431">
        <v>15</v>
      </c>
      <c r="Q230" s="431">
        <v>0</v>
      </c>
      <c r="R230" s="431">
        <v>0</v>
      </c>
      <c r="S230" s="431">
        <v>0</v>
      </c>
      <c r="T230" s="431">
        <v>0</v>
      </c>
      <c r="U230" s="431">
        <v>0</v>
      </c>
      <c r="V230" s="431">
        <v>0</v>
      </c>
      <c r="W230" s="431">
        <v>0</v>
      </c>
      <c r="X230" s="433">
        <v>0</v>
      </c>
      <c r="Y230" s="439">
        <v>0</v>
      </c>
    </row>
    <row r="231" spans="1:26" ht="13.8" thickBot="1" x14ac:dyDescent="0.3">
      <c r="A231" s="435" t="s">
        <v>117</v>
      </c>
      <c r="B231" s="429">
        <f t="shared" ref="B231:X231" si="78">(C230+B230)*(C229-B229)/2</f>
        <v>0.27500000000000002</v>
      </c>
      <c r="C231" s="430">
        <f t="shared" si="78"/>
        <v>1.115</v>
      </c>
      <c r="D231" s="430">
        <f t="shared" si="78"/>
        <v>1.6249999999999998</v>
      </c>
      <c r="E231" s="430">
        <f t="shared" si="78"/>
        <v>1.5250000000000004</v>
      </c>
      <c r="F231" s="430">
        <f t="shared" si="78"/>
        <v>1.3650000000000002</v>
      </c>
      <c r="G231" s="430">
        <f t="shared" si="78"/>
        <v>6.5</v>
      </c>
      <c r="H231" s="430">
        <f t="shared" si="78"/>
        <v>13.8</v>
      </c>
      <c r="I231" s="430">
        <f t="shared" si="78"/>
        <v>14.149999999999997</v>
      </c>
      <c r="J231" s="430">
        <f t="shared" si="78"/>
        <v>14.150000000000004</v>
      </c>
      <c r="K231" s="430">
        <f t="shared" si="78"/>
        <v>27.399999999999995</v>
      </c>
      <c r="L231" s="430">
        <f t="shared" si="78"/>
        <v>19.500000000000004</v>
      </c>
      <c r="M231" s="430">
        <f t="shared" si="78"/>
        <v>7.6500000000000066</v>
      </c>
      <c r="N231" s="430">
        <f t="shared" si="78"/>
        <v>4.699999999999994</v>
      </c>
      <c r="O231" s="430">
        <f t="shared" si="78"/>
        <v>1.5000000000000013</v>
      </c>
      <c r="P231" s="430">
        <f t="shared" si="78"/>
        <v>0.3749999999999995</v>
      </c>
      <c r="Q231" s="430">
        <f t="shared" si="78"/>
        <v>0</v>
      </c>
      <c r="R231" s="430">
        <f t="shared" si="78"/>
        <v>0</v>
      </c>
      <c r="S231" s="430">
        <f t="shared" si="78"/>
        <v>0</v>
      </c>
      <c r="T231" s="430">
        <f t="shared" si="78"/>
        <v>0</v>
      </c>
      <c r="U231" s="430">
        <f t="shared" si="78"/>
        <v>0</v>
      </c>
      <c r="V231" s="430">
        <f t="shared" si="78"/>
        <v>0</v>
      </c>
      <c r="W231" s="430">
        <f t="shared" si="78"/>
        <v>0</v>
      </c>
      <c r="X231" s="430">
        <f t="shared" si="78"/>
        <v>0</v>
      </c>
      <c r="Y231" s="424"/>
    </row>
    <row r="232" spans="1:26" ht="13.8" thickBot="1" x14ac:dyDescent="0.3">
      <c r="A232" s="492" t="s">
        <v>388</v>
      </c>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row>
    <row r="233" spans="1:26" ht="13.8" thickBot="1" x14ac:dyDescent="0.3">
      <c r="A233" s="416" t="s">
        <v>389</v>
      </c>
      <c r="B233" s="414">
        <f>ROW(A233)</f>
        <v>233</v>
      </c>
      <c r="C233" s="418" t="s">
        <v>116</v>
      </c>
      <c r="D233" s="408">
        <f>SUM(B236:Y236)</f>
        <v>115.63</v>
      </c>
      <c r="E233" s="418" t="s">
        <v>115</v>
      </c>
      <c r="F233" s="409">
        <f>D233/g/J233</f>
        <v>125.39310733728064</v>
      </c>
      <c r="G233" s="418" t="s">
        <v>57</v>
      </c>
      <c r="H233" s="86">
        <v>0.2</v>
      </c>
      <c r="I233" s="418" t="s">
        <v>272</v>
      </c>
      <c r="J233" s="410">
        <f>H233-L233</f>
        <v>9.4000000000000014E-2</v>
      </c>
      <c r="K233" s="418" t="s">
        <v>273</v>
      </c>
      <c r="L233" s="86">
        <v>0.106</v>
      </c>
      <c r="M233" s="418" t="s">
        <v>58</v>
      </c>
      <c r="N233" s="87">
        <v>93</v>
      </c>
      <c r="O233" s="418" t="s">
        <v>60</v>
      </c>
      <c r="P233" s="87">
        <v>93</v>
      </c>
      <c r="Q233" s="418" t="s">
        <v>61</v>
      </c>
      <c r="R233" s="87">
        <v>187</v>
      </c>
      <c r="S233" s="418" t="s">
        <v>62</v>
      </c>
      <c r="T233" s="87">
        <v>29</v>
      </c>
      <c r="U233" s="418" t="s">
        <v>55</v>
      </c>
      <c r="V233" s="88" t="s">
        <v>120</v>
      </c>
      <c r="W233" s="547" t="s">
        <v>396</v>
      </c>
      <c r="X233" s="549">
        <v>0.96</v>
      </c>
      <c r="Y233" s="547" t="s">
        <v>395</v>
      </c>
      <c r="Z233" s="413">
        <v>14</v>
      </c>
    </row>
    <row r="234" spans="1:26" x14ac:dyDescent="0.25">
      <c r="A234" s="417" t="s">
        <v>33</v>
      </c>
      <c r="B234" s="441">
        <v>0</v>
      </c>
      <c r="C234" s="442">
        <v>0.01</v>
      </c>
      <c r="D234" s="442">
        <v>0.02</v>
      </c>
      <c r="E234" s="442">
        <v>0.03</v>
      </c>
      <c r="F234" s="442">
        <v>0.04</v>
      </c>
      <c r="G234" s="442">
        <v>0.05</v>
      </c>
      <c r="H234" s="442">
        <v>0.1</v>
      </c>
      <c r="I234" s="442">
        <v>0.2</v>
      </c>
      <c r="J234" s="442">
        <v>0.3</v>
      </c>
      <c r="K234" s="442">
        <v>0.4</v>
      </c>
      <c r="L234" s="442">
        <v>0.6</v>
      </c>
      <c r="M234" s="442">
        <v>0.75</v>
      </c>
      <c r="N234" s="442">
        <v>0.81</v>
      </c>
      <c r="O234" s="442">
        <v>0.86</v>
      </c>
      <c r="P234" s="442">
        <v>0.9</v>
      </c>
      <c r="Q234" s="442">
        <v>0.95</v>
      </c>
      <c r="R234" s="442">
        <v>1</v>
      </c>
      <c r="S234" s="442">
        <f t="shared" ref="S234:X235" si="79">R234</f>
        <v>1</v>
      </c>
      <c r="T234" s="442">
        <f t="shared" si="79"/>
        <v>1</v>
      </c>
      <c r="U234" s="442">
        <f t="shared" si="79"/>
        <v>1</v>
      </c>
      <c r="V234" s="442">
        <f t="shared" si="79"/>
        <v>1</v>
      </c>
      <c r="W234" s="442">
        <f t="shared" si="79"/>
        <v>1</v>
      </c>
      <c r="X234" s="442">
        <v>2</v>
      </c>
      <c r="Y234" s="444">
        <v>1000</v>
      </c>
    </row>
    <row r="235" spans="1:26" x14ac:dyDescent="0.25">
      <c r="A235" s="434" t="s">
        <v>34</v>
      </c>
      <c r="B235" s="443">
        <v>0</v>
      </c>
      <c r="C235" s="433">
        <v>55</v>
      </c>
      <c r="D235" s="433">
        <v>168</v>
      </c>
      <c r="E235" s="433">
        <v>157</v>
      </c>
      <c r="F235" s="433">
        <v>148</v>
      </c>
      <c r="G235" s="433">
        <v>125</v>
      </c>
      <c r="H235" s="433">
        <v>135</v>
      </c>
      <c r="I235" s="433">
        <v>141</v>
      </c>
      <c r="J235" s="433">
        <v>142</v>
      </c>
      <c r="K235" s="433">
        <v>141</v>
      </c>
      <c r="L235" s="433">
        <v>133</v>
      </c>
      <c r="M235" s="433">
        <v>127</v>
      </c>
      <c r="N235" s="433">
        <v>128</v>
      </c>
      <c r="O235" s="433">
        <v>60</v>
      </c>
      <c r="P235" s="433">
        <v>15</v>
      </c>
      <c r="Q235" s="433">
        <v>0</v>
      </c>
      <c r="R235" s="433">
        <v>0</v>
      </c>
      <c r="S235" s="433">
        <f t="shared" si="79"/>
        <v>0</v>
      </c>
      <c r="T235" s="433">
        <f t="shared" si="79"/>
        <v>0</v>
      </c>
      <c r="U235" s="433">
        <f t="shared" si="79"/>
        <v>0</v>
      </c>
      <c r="V235" s="433">
        <f t="shared" si="79"/>
        <v>0</v>
      </c>
      <c r="W235" s="433">
        <f t="shared" si="79"/>
        <v>0</v>
      </c>
      <c r="X235" s="433">
        <f t="shared" si="79"/>
        <v>0</v>
      </c>
      <c r="Y235" s="439">
        <v>0</v>
      </c>
    </row>
    <row r="236" spans="1:26" ht="13.8" thickBot="1" x14ac:dyDescent="0.3">
      <c r="A236" s="435" t="s">
        <v>117</v>
      </c>
      <c r="B236" s="429">
        <f t="shared" ref="B236:X236" si="80">(C235+B235)*(C234-B234)/2</f>
        <v>0.27500000000000002</v>
      </c>
      <c r="C236" s="430">
        <f t="shared" si="80"/>
        <v>1.115</v>
      </c>
      <c r="D236" s="430">
        <f t="shared" si="80"/>
        <v>1.6249999999999998</v>
      </c>
      <c r="E236" s="430">
        <f t="shared" si="80"/>
        <v>1.5250000000000004</v>
      </c>
      <c r="F236" s="430">
        <f t="shared" si="80"/>
        <v>1.3650000000000002</v>
      </c>
      <c r="G236" s="430">
        <f t="shared" si="80"/>
        <v>6.5</v>
      </c>
      <c r="H236" s="430">
        <f t="shared" si="80"/>
        <v>13.8</v>
      </c>
      <c r="I236" s="430">
        <f t="shared" si="80"/>
        <v>14.149999999999997</v>
      </c>
      <c r="J236" s="430">
        <f t="shared" si="80"/>
        <v>14.150000000000004</v>
      </c>
      <c r="K236" s="430">
        <f t="shared" si="80"/>
        <v>27.399999999999995</v>
      </c>
      <c r="L236" s="430">
        <f t="shared" si="80"/>
        <v>19.500000000000004</v>
      </c>
      <c r="M236" s="430">
        <f t="shared" si="80"/>
        <v>7.6500000000000066</v>
      </c>
      <c r="N236" s="430">
        <f t="shared" si="80"/>
        <v>4.699999999999994</v>
      </c>
      <c r="O236" s="430">
        <f t="shared" si="80"/>
        <v>1.5000000000000013</v>
      </c>
      <c r="P236" s="430">
        <f t="shared" si="80"/>
        <v>0.3749999999999995</v>
      </c>
      <c r="Q236" s="430">
        <f t="shared" si="80"/>
        <v>0</v>
      </c>
      <c r="R236" s="430">
        <f t="shared" si="80"/>
        <v>0</v>
      </c>
      <c r="S236" s="430">
        <f t="shared" si="80"/>
        <v>0</v>
      </c>
      <c r="T236" s="430">
        <f t="shared" si="80"/>
        <v>0</v>
      </c>
      <c r="U236" s="430">
        <f t="shared" si="80"/>
        <v>0</v>
      </c>
      <c r="V236" s="430">
        <f t="shared" si="80"/>
        <v>0</v>
      </c>
      <c r="W236" s="430">
        <f t="shared" si="80"/>
        <v>0</v>
      </c>
      <c r="X236" s="430">
        <f t="shared" si="80"/>
        <v>0</v>
      </c>
      <c r="Y236" s="424"/>
    </row>
    <row r="237" spans="1:26" ht="13.8" thickBot="1" x14ac:dyDescent="0.3">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row>
    <row r="238" spans="1:26" ht="13.8" thickBot="1" x14ac:dyDescent="0.3">
      <c r="A238" s="416" t="s">
        <v>394</v>
      </c>
      <c r="B238" s="414">
        <f>ROW(A238)</f>
        <v>238</v>
      </c>
      <c r="C238" s="418" t="s">
        <v>116</v>
      </c>
      <c r="D238" s="408">
        <f>SUM(B241:Y241)</f>
        <v>158.04815100000002</v>
      </c>
      <c r="E238" s="418" t="s">
        <v>115</v>
      </c>
      <c r="F238" s="409">
        <v>198</v>
      </c>
      <c r="G238" s="418" t="s">
        <v>57</v>
      </c>
      <c r="H238" s="86">
        <v>0.19450000000000001</v>
      </c>
      <c r="I238" s="418" t="s">
        <v>272</v>
      </c>
      <c r="J238" s="410">
        <f>H238-L238</f>
        <v>8.9600000000000013E-2</v>
      </c>
      <c r="K238" s="418" t="s">
        <v>273</v>
      </c>
      <c r="L238" s="86">
        <v>0.10489999999999999</v>
      </c>
      <c r="M238" s="418" t="s">
        <v>58</v>
      </c>
      <c r="N238" s="87">
        <v>93</v>
      </c>
      <c r="O238" s="418" t="s">
        <v>60</v>
      </c>
      <c r="P238" s="87">
        <v>93</v>
      </c>
      <c r="Q238" s="418" t="s">
        <v>61</v>
      </c>
      <c r="R238" s="87">
        <v>187</v>
      </c>
      <c r="S238" s="418" t="s">
        <v>62</v>
      </c>
      <c r="T238" s="87">
        <v>29</v>
      </c>
      <c r="U238" s="418" t="s">
        <v>55</v>
      </c>
      <c r="V238" s="88" t="s">
        <v>120</v>
      </c>
      <c r="W238" s="547" t="s">
        <v>396</v>
      </c>
      <c r="X238" s="549">
        <v>1.27</v>
      </c>
      <c r="Y238" s="547" t="s">
        <v>395</v>
      </c>
      <c r="Z238" s="413">
        <v>14</v>
      </c>
    </row>
    <row r="239" spans="1:26" x14ac:dyDescent="0.25">
      <c r="A239" s="417" t="s">
        <v>33</v>
      </c>
      <c r="B239" s="557">
        <v>0</v>
      </c>
      <c r="C239" s="557">
        <v>4.0000000000000001E-3</v>
      </c>
      <c r="D239" s="557">
        <v>2.1999999999999999E-2</v>
      </c>
      <c r="E239" s="557">
        <v>3.9E-2</v>
      </c>
      <c r="F239" s="557">
        <v>0.122</v>
      </c>
      <c r="G239" s="557">
        <v>0.23599999999999999</v>
      </c>
      <c r="H239" s="557">
        <v>0.58899999999999997</v>
      </c>
      <c r="I239" s="557">
        <v>0.80100000000000005</v>
      </c>
      <c r="J239" s="557">
        <v>1.0680000000000001</v>
      </c>
      <c r="K239" s="557">
        <v>1.1180000000000001</v>
      </c>
      <c r="L239" s="557">
        <v>1.145</v>
      </c>
      <c r="M239" s="557">
        <v>1.1739999999999999</v>
      </c>
      <c r="N239" s="557">
        <v>1.2110000000000001</v>
      </c>
      <c r="O239" s="557">
        <v>1.2470000000000001</v>
      </c>
      <c r="P239" s="557">
        <v>1.2989999999999999</v>
      </c>
      <c r="Q239" s="442">
        <v>2</v>
      </c>
      <c r="R239" s="442">
        <v>2</v>
      </c>
      <c r="S239" s="442">
        <f t="shared" ref="S239:X240" si="81">R239</f>
        <v>2</v>
      </c>
      <c r="T239" s="442">
        <f t="shared" si="81"/>
        <v>2</v>
      </c>
      <c r="U239" s="442">
        <f t="shared" si="81"/>
        <v>2</v>
      </c>
      <c r="V239" s="442">
        <f t="shared" si="81"/>
        <v>2</v>
      </c>
      <c r="W239" s="442">
        <f t="shared" si="81"/>
        <v>2</v>
      </c>
      <c r="X239" s="442">
        <f t="shared" si="81"/>
        <v>2</v>
      </c>
      <c r="Y239" s="444">
        <v>1000</v>
      </c>
    </row>
    <row r="240" spans="1:26" x14ac:dyDescent="0.25">
      <c r="A240" s="434" t="s">
        <v>34</v>
      </c>
      <c r="B240" s="557">
        <v>0</v>
      </c>
      <c r="C240" s="557">
        <v>15.683</v>
      </c>
      <c r="D240" s="557">
        <v>170.834</v>
      </c>
      <c r="E240" s="557">
        <v>116.877</v>
      </c>
      <c r="F240" s="557">
        <v>142.642</v>
      </c>
      <c r="G240" s="557">
        <v>149.73699999999999</v>
      </c>
      <c r="H240" s="557">
        <v>142.642</v>
      </c>
      <c r="I240" s="557">
        <v>131.25299999999999</v>
      </c>
      <c r="J240" s="557">
        <v>122.104</v>
      </c>
      <c r="K240" s="557">
        <v>107.91500000000001</v>
      </c>
      <c r="L240" s="557">
        <v>78.415999999999997</v>
      </c>
      <c r="M240" s="557">
        <v>43.128999999999998</v>
      </c>
      <c r="N240" s="557">
        <v>21.471</v>
      </c>
      <c r="O240" s="557">
        <v>8.7750000000000004</v>
      </c>
      <c r="P240" s="557">
        <v>0</v>
      </c>
      <c r="Q240" s="433">
        <v>0</v>
      </c>
      <c r="R240" s="433">
        <v>0</v>
      </c>
      <c r="S240" s="433">
        <f t="shared" si="81"/>
        <v>0</v>
      </c>
      <c r="T240" s="433">
        <f t="shared" si="81"/>
        <v>0</v>
      </c>
      <c r="U240" s="433">
        <f t="shared" si="81"/>
        <v>0</v>
      </c>
      <c r="V240" s="433">
        <f t="shared" si="81"/>
        <v>0</v>
      </c>
      <c r="W240" s="433">
        <f t="shared" si="81"/>
        <v>0</v>
      </c>
      <c r="X240" s="433">
        <f t="shared" si="81"/>
        <v>0</v>
      </c>
      <c r="Y240" s="439">
        <v>0</v>
      </c>
    </row>
    <row r="241" spans="1:26" ht="13.8" thickBot="1" x14ac:dyDescent="0.3">
      <c r="A241" s="435" t="s">
        <v>117</v>
      </c>
      <c r="B241" s="429">
        <f t="shared" ref="B241:X241" si="82">(C240+B240)*(C239-B239)/2</f>
        <v>3.1365999999999998E-2</v>
      </c>
      <c r="C241" s="430">
        <f t="shared" si="82"/>
        <v>1.6786529999999997</v>
      </c>
      <c r="D241" s="430">
        <f t="shared" si="82"/>
        <v>2.4455435000000003</v>
      </c>
      <c r="E241" s="430">
        <f t="shared" si="82"/>
        <v>10.770038499999998</v>
      </c>
      <c r="F241" s="430">
        <f t="shared" si="82"/>
        <v>16.665603000000001</v>
      </c>
      <c r="G241" s="430">
        <f t="shared" si="82"/>
        <v>51.604893500000003</v>
      </c>
      <c r="H241" s="430">
        <f t="shared" si="82"/>
        <v>29.03287000000001</v>
      </c>
      <c r="I241" s="430">
        <f t="shared" si="82"/>
        <v>33.823159499999996</v>
      </c>
      <c r="J241" s="430">
        <f t="shared" si="82"/>
        <v>5.7504750000000051</v>
      </c>
      <c r="K241" s="430">
        <f t="shared" si="82"/>
        <v>2.5154684999999923</v>
      </c>
      <c r="L241" s="430">
        <f t="shared" si="82"/>
        <v>1.7624024999999945</v>
      </c>
      <c r="M241" s="430">
        <f t="shared" si="82"/>
        <v>1.1951000000000045</v>
      </c>
      <c r="N241" s="430">
        <f t="shared" si="82"/>
        <v>0.54442800000000058</v>
      </c>
      <c r="O241" s="430">
        <f t="shared" si="82"/>
        <v>0.22814999999999924</v>
      </c>
      <c r="P241" s="430">
        <f t="shared" si="82"/>
        <v>0</v>
      </c>
      <c r="Q241" s="430">
        <f t="shared" si="82"/>
        <v>0</v>
      </c>
      <c r="R241" s="430">
        <f t="shared" si="82"/>
        <v>0</v>
      </c>
      <c r="S241" s="430">
        <f t="shared" si="82"/>
        <v>0</v>
      </c>
      <c r="T241" s="430">
        <f t="shared" si="82"/>
        <v>0</v>
      </c>
      <c r="U241" s="430">
        <f t="shared" si="82"/>
        <v>0</v>
      </c>
      <c r="V241" s="430">
        <f t="shared" si="82"/>
        <v>0</v>
      </c>
      <c r="W241" s="430">
        <f t="shared" si="82"/>
        <v>0</v>
      </c>
      <c r="X241" s="430">
        <f t="shared" si="82"/>
        <v>0</v>
      </c>
      <c r="Y241" s="424"/>
    </row>
    <row r="242" spans="1:26" ht="13.8" thickBot="1" x14ac:dyDescent="0.3">
      <c r="A242" s="492" t="s">
        <v>376</v>
      </c>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row>
    <row r="243" spans="1:26" ht="13.8" thickBot="1" x14ac:dyDescent="0.3">
      <c r="A243" s="416" t="s">
        <v>381</v>
      </c>
      <c r="B243" s="414">
        <f>ROW(A243)</f>
        <v>243</v>
      </c>
      <c r="C243" s="418" t="s">
        <v>116</v>
      </c>
      <c r="D243" s="408">
        <f>SUM(B246:Y246)</f>
        <v>136.75235000000001</v>
      </c>
      <c r="E243" s="418" t="s">
        <v>115</v>
      </c>
      <c r="F243" s="409">
        <f>D243/g/J243</f>
        <v>152.35078513616639</v>
      </c>
      <c r="G243" s="418" t="s">
        <v>57</v>
      </c>
      <c r="H243" s="86">
        <v>0.21249999999999999</v>
      </c>
      <c r="I243" s="418" t="s">
        <v>272</v>
      </c>
      <c r="J243" s="410">
        <f>H243-L243</f>
        <v>9.1499999999999998E-2</v>
      </c>
      <c r="K243" s="418" t="s">
        <v>273</v>
      </c>
      <c r="L243" s="86">
        <v>0.121</v>
      </c>
      <c r="M243" s="418" t="s">
        <v>58</v>
      </c>
      <c r="N243" s="87">
        <v>63</v>
      </c>
      <c r="O243" s="418" t="s">
        <v>60</v>
      </c>
      <c r="P243" s="87">
        <v>114</v>
      </c>
      <c r="Q243" s="418" t="s">
        <v>61</v>
      </c>
      <c r="R243" s="87">
        <v>127</v>
      </c>
      <c r="S243" s="418" t="s">
        <v>62</v>
      </c>
      <c r="T243" s="87">
        <v>38</v>
      </c>
      <c r="U243" s="418" t="s">
        <v>55</v>
      </c>
      <c r="V243" s="88" t="s">
        <v>120</v>
      </c>
      <c r="W243" s="547" t="s">
        <v>396</v>
      </c>
      <c r="X243" s="549">
        <v>2.36</v>
      </c>
      <c r="Y243" s="547" t="s">
        <v>395</v>
      </c>
      <c r="Z243" s="413">
        <v>13</v>
      </c>
    </row>
    <row r="244" spans="1:26" x14ac:dyDescent="0.25">
      <c r="A244" s="417" t="s">
        <v>33</v>
      </c>
      <c r="B244" s="441">
        <v>0</v>
      </c>
      <c r="C244" s="426">
        <v>2.9000000000000001E-2</v>
      </c>
      <c r="D244" s="426">
        <v>4.5999999999999999E-2</v>
      </c>
      <c r="E244" s="426">
        <v>5.8000000000000003E-2</v>
      </c>
      <c r="F244" s="426">
        <v>8.4000000000000005E-2</v>
      </c>
      <c r="G244" s="426">
        <v>0.17100000000000001</v>
      </c>
      <c r="H244" s="426">
        <v>0.28000000000000003</v>
      </c>
      <c r="I244" s="426">
        <v>0.45500000000000002</v>
      </c>
      <c r="J244" s="426">
        <v>0.58599999999999997</v>
      </c>
      <c r="K244" s="426">
        <v>0.74099999999999999</v>
      </c>
      <c r="L244" s="426">
        <v>0.95199999999999996</v>
      </c>
      <c r="M244" s="426">
        <v>1.2170000000000001</v>
      </c>
      <c r="N244" s="426">
        <v>1.43</v>
      </c>
      <c r="O244" s="426">
        <v>1.6259999999999999</v>
      </c>
      <c r="P244" s="426">
        <v>1.8069999999999999</v>
      </c>
      <c r="Q244" s="426">
        <v>1.9590000000000001</v>
      </c>
      <c r="R244" s="426">
        <v>2.1040000000000001</v>
      </c>
      <c r="S244" s="426">
        <v>2.1680000000000001</v>
      </c>
      <c r="T244" s="426">
        <v>2.21</v>
      </c>
      <c r="U244" s="426">
        <v>2.2469999999999999</v>
      </c>
      <c r="V244" s="426">
        <v>2.3290000000000002</v>
      </c>
      <c r="W244" s="442">
        <f>2.4</f>
        <v>2.4</v>
      </c>
      <c r="X244" s="442">
        <f>W244</f>
        <v>2.4</v>
      </c>
      <c r="Y244" s="444">
        <v>1000</v>
      </c>
    </row>
    <row r="245" spans="1:26" x14ac:dyDescent="0.25">
      <c r="A245" s="434" t="s">
        <v>34</v>
      </c>
      <c r="B245" s="443">
        <v>0</v>
      </c>
      <c r="C245" s="428">
        <v>90.25</v>
      </c>
      <c r="D245" s="428">
        <v>69.17</v>
      </c>
      <c r="E245" s="428">
        <v>59.947000000000003</v>
      </c>
      <c r="F245" s="428">
        <v>47.167000000000002</v>
      </c>
      <c r="G245" s="428">
        <v>57.970999999999997</v>
      </c>
      <c r="H245" s="428">
        <v>59.552</v>
      </c>
      <c r="I245" s="428">
        <v>61.265000000000001</v>
      </c>
      <c r="J245" s="428">
        <v>61.66</v>
      </c>
      <c r="K245" s="428">
        <v>62.319000000000003</v>
      </c>
      <c r="L245" s="428">
        <v>63.768000000000001</v>
      </c>
      <c r="M245" s="428">
        <v>64.69</v>
      </c>
      <c r="N245" s="428">
        <v>63.768000000000001</v>
      </c>
      <c r="O245" s="428">
        <v>61.265000000000001</v>
      </c>
      <c r="P245" s="428">
        <v>58.103000000000002</v>
      </c>
      <c r="Q245" s="428">
        <v>53.887</v>
      </c>
      <c r="R245" s="428">
        <v>48.353000000000002</v>
      </c>
      <c r="S245" s="428">
        <v>47.563000000000002</v>
      </c>
      <c r="T245" s="428">
        <v>44.005000000000003</v>
      </c>
      <c r="U245" s="428">
        <v>37.286000000000001</v>
      </c>
      <c r="V245" s="428">
        <v>22.265999999999998</v>
      </c>
      <c r="W245" s="433">
        <v>0</v>
      </c>
      <c r="X245" s="433">
        <f>W245</f>
        <v>0</v>
      </c>
      <c r="Y245" s="439">
        <v>0</v>
      </c>
    </row>
    <row r="246" spans="1:26" ht="13.8" thickBot="1" x14ac:dyDescent="0.3">
      <c r="A246" s="435" t="s">
        <v>117</v>
      </c>
      <c r="B246" s="429">
        <f t="shared" ref="B246:X246" si="83">(C245+B245)*(C244-B244)/2</f>
        <v>1.3086250000000001</v>
      </c>
      <c r="C246" s="430">
        <f t="shared" si="83"/>
        <v>1.35507</v>
      </c>
      <c r="D246" s="430">
        <f t="shared" si="83"/>
        <v>0.77470200000000033</v>
      </c>
      <c r="E246" s="430">
        <f t="shared" si="83"/>
        <v>1.3924820000000002</v>
      </c>
      <c r="F246" s="430">
        <f t="shared" si="83"/>
        <v>4.5735030000000005</v>
      </c>
      <c r="G246" s="430">
        <f t="shared" si="83"/>
        <v>6.4050035000000003</v>
      </c>
      <c r="H246" s="430">
        <f t="shared" si="83"/>
        <v>10.5714875</v>
      </c>
      <c r="I246" s="430">
        <f t="shared" si="83"/>
        <v>8.0515874999999966</v>
      </c>
      <c r="J246" s="430">
        <f t="shared" si="83"/>
        <v>9.6083725000000015</v>
      </c>
      <c r="K246" s="430">
        <f t="shared" si="83"/>
        <v>13.302178499999998</v>
      </c>
      <c r="L246" s="430">
        <f t="shared" si="83"/>
        <v>17.020685000000007</v>
      </c>
      <c r="M246" s="430">
        <f t="shared" si="83"/>
        <v>13.68077699999999</v>
      </c>
      <c r="N246" s="430">
        <f t="shared" si="83"/>
        <v>12.253233999999997</v>
      </c>
      <c r="O246" s="430">
        <f t="shared" si="83"/>
        <v>10.802804000000002</v>
      </c>
      <c r="P246" s="430">
        <f t="shared" si="83"/>
        <v>8.5112400000000079</v>
      </c>
      <c r="Q246" s="430">
        <f t="shared" si="83"/>
        <v>7.4124000000000017</v>
      </c>
      <c r="R246" s="430">
        <f t="shared" si="83"/>
        <v>3.0693120000000027</v>
      </c>
      <c r="S246" s="430">
        <f t="shared" si="83"/>
        <v>1.9229279999999918</v>
      </c>
      <c r="T246" s="430">
        <f t="shared" si="83"/>
        <v>1.5038834999999968</v>
      </c>
      <c r="U246" s="430">
        <f t="shared" si="83"/>
        <v>2.4416320000000087</v>
      </c>
      <c r="V246" s="430">
        <f t="shared" si="83"/>
        <v>0.7904429999999969</v>
      </c>
      <c r="W246" s="430">
        <f t="shared" si="83"/>
        <v>0</v>
      </c>
      <c r="X246" s="430">
        <f t="shared" si="83"/>
        <v>0</v>
      </c>
      <c r="Y246" s="424"/>
    </row>
    <row r="247" spans="1:26" ht="13.8" thickBot="1" x14ac:dyDescent="0.3">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row>
    <row r="248" spans="1:26" ht="13.8" thickBot="1" x14ac:dyDescent="0.3">
      <c r="A248" s="416" t="s">
        <v>382</v>
      </c>
      <c r="B248" s="414">
        <f>ROW(A248)</f>
        <v>248</v>
      </c>
      <c r="C248" s="418" t="s">
        <v>116</v>
      </c>
      <c r="D248" s="408">
        <f>SUM(B251:Y251)</f>
        <v>127.06944999999999</v>
      </c>
      <c r="E248" s="418" t="s">
        <v>115</v>
      </c>
      <c r="F248" s="409">
        <f>D248/g/J248</f>
        <v>180.65624835614466</v>
      </c>
      <c r="G248" s="418" t="s">
        <v>57</v>
      </c>
      <c r="H248" s="86">
        <v>0.18840000000000001</v>
      </c>
      <c r="I248" s="418" t="s">
        <v>272</v>
      </c>
      <c r="J248" s="410">
        <f>H248-L248</f>
        <v>7.1700000000000014E-2</v>
      </c>
      <c r="K248" s="418" t="s">
        <v>273</v>
      </c>
      <c r="L248" s="86">
        <v>0.1167</v>
      </c>
      <c r="M248" s="418" t="s">
        <v>58</v>
      </c>
      <c r="N248" s="87">
        <v>63</v>
      </c>
      <c r="O248" s="418" t="s">
        <v>60</v>
      </c>
      <c r="P248" s="87">
        <v>114</v>
      </c>
      <c r="Q248" s="418" t="s">
        <v>61</v>
      </c>
      <c r="R248" s="87">
        <v>127</v>
      </c>
      <c r="S248" s="418" t="s">
        <v>62</v>
      </c>
      <c r="T248" s="87">
        <v>38</v>
      </c>
      <c r="U248" s="418" t="s">
        <v>55</v>
      </c>
      <c r="V248" s="88" t="s">
        <v>120</v>
      </c>
      <c r="W248" s="547" t="s">
        <v>396</v>
      </c>
      <c r="X248" s="549">
        <v>0.69</v>
      </c>
      <c r="Y248" s="547" t="s">
        <v>395</v>
      </c>
      <c r="Z248" s="413">
        <v>12</v>
      </c>
    </row>
    <row r="249" spans="1:26" x14ac:dyDescent="0.25">
      <c r="A249" s="417" t="s">
        <v>33</v>
      </c>
      <c r="B249" s="441">
        <v>0</v>
      </c>
      <c r="C249" s="442">
        <v>0.01</v>
      </c>
      <c r="D249" s="442">
        <v>0.02</v>
      </c>
      <c r="E249" s="442">
        <v>0.05</v>
      </c>
      <c r="F249" s="442">
        <v>0.1</v>
      </c>
      <c r="G249" s="442">
        <v>0.2</v>
      </c>
      <c r="H249" s="442">
        <v>0.3</v>
      </c>
      <c r="I249" s="442">
        <v>0.35</v>
      </c>
      <c r="J249" s="442">
        <v>0.4</v>
      </c>
      <c r="K249" s="442">
        <v>0.45</v>
      </c>
      <c r="L249" s="442">
        <v>0.5</v>
      </c>
      <c r="M249" s="442">
        <v>0.55000000000000004</v>
      </c>
      <c r="N249" s="442">
        <v>0.6</v>
      </c>
      <c r="O249" s="442">
        <v>0.61</v>
      </c>
      <c r="P249" s="442">
        <v>0.63</v>
      </c>
      <c r="Q249" s="442">
        <v>0.64</v>
      </c>
      <c r="R249" s="442">
        <v>0.65</v>
      </c>
      <c r="S249" s="442">
        <v>0.67</v>
      </c>
      <c r="T249" s="442">
        <v>0.68</v>
      </c>
      <c r="U249" s="442">
        <v>0.69</v>
      </c>
      <c r="V249" s="442">
        <f t="shared" ref="V249:X250" si="84">U249</f>
        <v>0.69</v>
      </c>
      <c r="W249" s="442">
        <f t="shared" si="84"/>
        <v>0.69</v>
      </c>
      <c r="X249" s="442">
        <v>2</v>
      </c>
      <c r="Y249" s="444">
        <v>1000</v>
      </c>
    </row>
    <row r="250" spans="1:26" x14ac:dyDescent="0.25">
      <c r="A250" s="434" t="s">
        <v>34</v>
      </c>
      <c r="B250" s="443">
        <v>0</v>
      </c>
      <c r="C250" s="433">
        <v>108.72</v>
      </c>
      <c r="D250" s="433">
        <v>131.19</v>
      </c>
      <c r="E250" s="433">
        <v>153.13999999999999</v>
      </c>
      <c r="F250" s="433">
        <v>168.97</v>
      </c>
      <c r="G250" s="433">
        <v>189.92</v>
      </c>
      <c r="H250" s="433">
        <v>199.95</v>
      </c>
      <c r="I250" s="433">
        <v>203.59</v>
      </c>
      <c r="J250" s="433">
        <v>205.03</v>
      </c>
      <c r="K250" s="433">
        <v>202.6</v>
      </c>
      <c r="L250" s="433">
        <v>203.06</v>
      </c>
      <c r="M250" s="433">
        <v>199.34</v>
      </c>
      <c r="N250" s="433">
        <v>194.71</v>
      </c>
      <c r="O250" s="433">
        <v>194.1</v>
      </c>
      <c r="P250" s="433">
        <v>193.49</v>
      </c>
      <c r="Q250" s="433">
        <v>193.68</v>
      </c>
      <c r="R250" s="433">
        <v>202.91</v>
      </c>
      <c r="S250" s="433">
        <v>163.38999999999999</v>
      </c>
      <c r="T250" s="433">
        <v>80.44</v>
      </c>
      <c r="U250" s="433">
        <v>0</v>
      </c>
      <c r="V250" s="433">
        <f t="shared" si="84"/>
        <v>0</v>
      </c>
      <c r="W250" s="433">
        <f t="shared" si="84"/>
        <v>0</v>
      </c>
      <c r="X250" s="433">
        <f t="shared" si="84"/>
        <v>0</v>
      </c>
      <c r="Y250" s="439">
        <v>0</v>
      </c>
    </row>
    <row r="251" spans="1:26" ht="13.8" thickBot="1" x14ac:dyDescent="0.3">
      <c r="A251" s="435" t="s">
        <v>117</v>
      </c>
      <c r="B251" s="429">
        <f t="shared" ref="B251:X251" si="85">(C250+B250)*(C249-B249)/2</f>
        <v>0.54359999999999997</v>
      </c>
      <c r="C251" s="430">
        <f t="shared" si="85"/>
        <v>1.1995500000000001</v>
      </c>
      <c r="D251" s="430">
        <f t="shared" si="85"/>
        <v>4.2649499999999998</v>
      </c>
      <c r="E251" s="430">
        <f t="shared" si="85"/>
        <v>8.0527500000000014</v>
      </c>
      <c r="F251" s="430">
        <f t="shared" si="85"/>
        <v>17.944500000000001</v>
      </c>
      <c r="G251" s="430">
        <f t="shared" si="85"/>
        <v>19.493499999999997</v>
      </c>
      <c r="H251" s="430">
        <f t="shared" si="85"/>
        <v>10.088499999999996</v>
      </c>
      <c r="I251" s="430">
        <f t="shared" si="85"/>
        <v>10.215500000000009</v>
      </c>
      <c r="J251" s="430">
        <f t="shared" si="85"/>
        <v>10.190749999999998</v>
      </c>
      <c r="K251" s="430">
        <f t="shared" si="85"/>
        <v>10.141499999999997</v>
      </c>
      <c r="L251" s="430">
        <f t="shared" si="85"/>
        <v>10.060000000000008</v>
      </c>
      <c r="M251" s="430">
        <f t="shared" si="85"/>
        <v>9.8512499999999878</v>
      </c>
      <c r="N251" s="430">
        <f t="shared" si="85"/>
        <v>1.9440500000000018</v>
      </c>
      <c r="O251" s="430">
        <f t="shared" si="85"/>
        <v>3.8759000000000037</v>
      </c>
      <c r="P251" s="430">
        <f t="shared" si="85"/>
        <v>1.9358500000000018</v>
      </c>
      <c r="Q251" s="430">
        <f t="shared" si="85"/>
        <v>1.982950000000002</v>
      </c>
      <c r="R251" s="430">
        <f t="shared" si="85"/>
        <v>3.6630000000000029</v>
      </c>
      <c r="S251" s="430">
        <f t="shared" si="85"/>
        <v>1.2191500000000011</v>
      </c>
      <c r="T251" s="430">
        <f t="shared" si="85"/>
        <v>0.40219999999999589</v>
      </c>
      <c r="U251" s="430">
        <f t="shared" si="85"/>
        <v>0</v>
      </c>
      <c r="V251" s="430">
        <f t="shared" si="85"/>
        <v>0</v>
      </c>
      <c r="W251" s="430">
        <f t="shared" si="85"/>
        <v>0</v>
      </c>
      <c r="X251" s="430">
        <f t="shared" si="85"/>
        <v>0</v>
      </c>
      <c r="Y251" s="424"/>
    </row>
    <row r="252" spans="1:26" ht="13.8" thickBot="1" x14ac:dyDescent="0.3">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row>
    <row r="253" spans="1:26" ht="13.8" thickBot="1" x14ac:dyDescent="0.3">
      <c r="A253" s="416" t="s">
        <v>390</v>
      </c>
      <c r="B253" s="414">
        <f>ROW(A253)</f>
        <v>253</v>
      </c>
      <c r="C253" s="418" t="s">
        <v>116</v>
      </c>
      <c r="D253" s="408">
        <f>SUM(B256:Y256)</f>
        <v>142.7236025</v>
      </c>
      <c r="E253" s="418" t="s">
        <v>115</v>
      </c>
      <c r="F253" s="409">
        <v>208</v>
      </c>
      <c r="G253" s="418" t="s">
        <v>57</v>
      </c>
      <c r="H253" s="86">
        <v>0.19700000000000001</v>
      </c>
      <c r="I253" s="418" t="s">
        <v>272</v>
      </c>
      <c r="J253" s="410">
        <f>H253-L253</f>
        <v>7.0000000000000007E-2</v>
      </c>
      <c r="K253" s="418" t="s">
        <v>273</v>
      </c>
      <c r="L253" s="86">
        <v>0.127</v>
      </c>
      <c r="M253" s="418" t="s">
        <v>58</v>
      </c>
      <c r="N253" s="87">
        <v>63</v>
      </c>
      <c r="O253" s="418" t="s">
        <v>60</v>
      </c>
      <c r="P253" s="87">
        <v>114</v>
      </c>
      <c r="Q253" s="418" t="s">
        <v>61</v>
      </c>
      <c r="R253" s="87">
        <v>127</v>
      </c>
      <c r="S253" s="418" t="s">
        <v>62</v>
      </c>
      <c r="T253" s="87">
        <v>38</v>
      </c>
      <c r="U253" s="418" t="s">
        <v>55</v>
      </c>
      <c r="V253" s="88" t="s">
        <v>120</v>
      </c>
      <c r="W253" s="547" t="s">
        <v>396</v>
      </c>
      <c r="X253" s="549">
        <v>1.8</v>
      </c>
      <c r="Y253" s="547" t="s">
        <v>395</v>
      </c>
      <c r="Z253" s="413">
        <v>15</v>
      </c>
    </row>
    <row r="254" spans="1:26" x14ac:dyDescent="0.25">
      <c r="A254" s="417" t="s">
        <v>33</v>
      </c>
      <c r="B254" s="441">
        <v>0</v>
      </c>
      <c r="C254" s="441">
        <v>6.0000000000000001E-3</v>
      </c>
      <c r="D254" s="442">
        <v>1.7999999999999999E-2</v>
      </c>
      <c r="E254" s="442">
        <v>3.5999999999999997E-2</v>
      </c>
      <c r="F254" s="442">
        <v>4.7E-2</v>
      </c>
      <c r="G254" s="442">
        <v>8.4000000000000005E-2</v>
      </c>
      <c r="H254" s="442">
        <v>0.13500000000000001</v>
      </c>
      <c r="I254" s="442">
        <v>0.23799999999999999</v>
      </c>
      <c r="J254" s="442">
        <v>0.438</v>
      </c>
      <c r="K254" s="442">
        <v>0.63</v>
      </c>
      <c r="L254" s="442">
        <v>0.85899999999999999</v>
      </c>
      <c r="M254" s="442">
        <v>1.2829999999999999</v>
      </c>
      <c r="N254" s="442">
        <v>1.4470000000000001</v>
      </c>
      <c r="O254" s="442">
        <v>1.643</v>
      </c>
      <c r="P254" s="442">
        <v>1.7130000000000001</v>
      </c>
      <c r="Q254" s="442">
        <v>1.7430000000000001</v>
      </c>
      <c r="R254" s="442">
        <v>1.79</v>
      </c>
      <c r="S254" s="442">
        <v>1.8180000000000001</v>
      </c>
      <c r="T254" s="442">
        <v>1.8520000000000001</v>
      </c>
      <c r="U254" s="442">
        <v>2</v>
      </c>
      <c r="V254" s="442">
        <f t="shared" ref="V254:X255" si="86">U254</f>
        <v>2</v>
      </c>
      <c r="W254" s="442">
        <f t="shared" si="86"/>
        <v>2</v>
      </c>
      <c r="X254" s="442">
        <f t="shared" si="86"/>
        <v>2</v>
      </c>
      <c r="Y254" s="444">
        <v>1000</v>
      </c>
    </row>
    <row r="255" spans="1:26" x14ac:dyDescent="0.25">
      <c r="A255" s="434" t="s">
        <v>34</v>
      </c>
      <c r="B255" s="443">
        <v>0</v>
      </c>
      <c r="C255" s="443">
        <v>104.068</v>
      </c>
      <c r="D255" s="433">
        <v>137.928</v>
      </c>
      <c r="E255" s="433">
        <v>70.706999999999994</v>
      </c>
      <c r="F255" s="433">
        <v>62.241999999999997</v>
      </c>
      <c r="G255" s="433">
        <v>73.694000000000003</v>
      </c>
      <c r="H255" s="433">
        <v>78.176000000000002</v>
      </c>
      <c r="I255" s="433">
        <v>84.150999999999996</v>
      </c>
      <c r="J255" s="433">
        <v>89.628</v>
      </c>
      <c r="K255" s="433">
        <v>88.135000000000005</v>
      </c>
      <c r="L255" s="433">
        <v>87.138999999999996</v>
      </c>
      <c r="M255" s="433">
        <v>77.180000000000007</v>
      </c>
      <c r="N255" s="433">
        <v>70.706999999999994</v>
      </c>
      <c r="O255" s="433">
        <v>67.718999999999994</v>
      </c>
      <c r="P255" s="433">
        <v>64.233999999999995</v>
      </c>
      <c r="Q255" s="433">
        <v>54.274999999999999</v>
      </c>
      <c r="R255" s="433">
        <v>18.423999999999999</v>
      </c>
      <c r="S255" s="433">
        <v>6.4729999999999999</v>
      </c>
      <c r="T255" s="433">
        <v>0</v>
      </c>
      <c r="U255" s="433">
        <v>0</v>
      </c>
      <c r="V255" s="433">
        <f t="shared" si="86"/>
        <v>0</v>
      </c>
      <c r="W255" s="433">
        <f t="shared" si="86"/>
        <v>0</v>
      </c>
      <c r="X255" s="433">
        <f t="shared" si="86"/>
        <v>0</v>
      </c>
      <c r="Y255" s="439">
        <v>0</v>
      </c>
    </row>
    <row r="256" spans="1:26" ht="13.8" thickBot="1" x14ac:dyDescent="0.3">
      <c r="A256" s="435" t="s">
        <v>117</v>
      </c>
      <c r="B256" s="429">
        <f t="shared" ref="B256:X256" si="87">(C255+B255)*(C254-B254)/2</f>
        <v>0.31220399999999998</v>
      </c>
      <c r="C256" s="430">
        <f t="shared" si="87"/>
        <v>1.4519759999999997</v>
      </c>
      <c r="D256" s="430">
        <f t="shared" si="87"/>
        <v>1.8777149999999998</v>
      </c>
      <c r="E256" s="430">
        <f t="shared" si="87"/>
        <v>0.73121950000000013</v>
      </c>
      <c r="F256" s="430">
        <f t="shared" si="87"/>
        <v>2.5148160000000006</v>
      </c>
      <c r="G256" s="430">
        <f t="shared" si="87"/>
        <v>3.8726850000000006</v>
      </c>
      <c r="H256" s="430">
        <f t="shared" si="87"/>
        <v>8.3598404999999989</v>
      </c>
      <c r="I256" s="430">
        <f t="shared" si="87"/>
        <v>17.3779</v>
      </c>
      <c r="J256" s="430">
        <f t="shared" si="87"/>
        <v>17.065248</v>
      </c>
      <c r="K256" s="430">
        <f t="shared" si="87"/>
        <v>20.068873</v>
      </c>
      <c r="L256" s="430">
        <f t="shared" si="87"/>
        <v>34.835628</v>
      </c>
      <c r="M256" s="430">
        <f t="shared" si="87"/>
        <v>12.126734000000011</v>
      </c>
      <c r="N256" s="430">
        <f t="shared" si="87"/>
        <v>13.565747999999996</v>
      </c>
      <c r="O256" s="430">
        <f t="shared" si="87"/>
        <v>4.6183550000000029</v>
      </c>
      <c r="P256" s="430">
        <f t="shared" si="87"/>
        <v>1.7776350000000014</v>
      </c>
      <c r="Q256" s="430">
        <f t="shared" si="87"/>
        <v>1.7084264999999974</v>
      </c>
      <c r="R256" s="430">
        <f t="shared" si="87"/>
        <v>0.34855800000000031</v>
      </c>
      <c r="S256" s="430">
        <f t="shared" si="87"/>
        <v>0.1100410000000001</v>
      </c>
      <c r="T256" s="430">
        <f t="shared" si="87"/>
        <v>0</v>
      </c>
      <c r="U256" s="430">
        <f t="shared" si="87"/>
        <v>0</v>
      </c>
      <c r="V256" s="430">
        <f t="shared" si="87"/>
        <v>0</v>
      </c>
      <c r="W256" s="430">
        <f t="shared" si="87"/>
        <v>0</v>
      </c>
      <c r="X256" s="430">
        <f t="shared" si="87"/>
        <v>0</v>
      </c>
      <c r="Y256" s="424"/>
    </row>
    <row r="257" spans="1:25" ht="13.8" thickBot="1" x14ac:dyDescent="0.3">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row>
    <row r="258" spans="1:25" ht="13.8" thickBot="1" x14ac:dyDescent="0.3">
      <c r="A258" s="416" t="s">
        <v>275</v>
      </c>
      <c r="B258" s="415">
        <f>ROW(A258)</f>
        <v>258</v>
      </c>
      <c r="C258" s="418" t="s">
        <v>116</v>
      </c>
      <c r="D258" s="408">
        <f>SUM(B261:Y261)</f>
        <v>33.500000000000007</v>
      </c>
      <c r="E258" s="418" t="s">
        <v>115</v>
      </c>
      <c r="F258" s="409">
        <f>D258/g/J258</f>
        <v>68.297655453618759</v>
      </c>
      <c r="G258" s="418" t="s">
        <v>57</v>
      </c>
      <c r="H258" s="86">
        <v>8.5000000000000006E-2</v>
      </c>
      <c r="I258" s="418" t="s">
        <v>272</v>
      </c>
      <c r="J258" s="410">
        <f>H258-L258</f>
        <v>0.05</v>
      </c>
      <c r="K258" s="418" t="s">
        <v>273</v>
      </c>
      <c r="L258" s="86">
        <v>3.5000000000000003E-2</v>
      </c>
      <c r="M258" s="418" t="s">
        <v>58</v>
      </c>
      <c r="N258" s="87">
        <v>20</v>
      </c>
      <c r="O258" s="418" t="s">
        <v>60</v>
      </c>
      <c r="P258" s="87">
        <v>20</v>
      </c>
      <c r="Q258" s="418" t="s">
        <v>61</v>
      </c>
      <c r="R258" s="87">
        <v>39</v>
      </c>
      <c r="S258" s="418" t="s">
        <v>62</v>
      </c>
      <c r="T258" s="87">
        <v>39</v>
      </c>
      <c r="U258" s="418" t="s">
        <v>55</v>
      </c>
      <c r="V258" s="88" t="s">
        <v>403</v>
      </c>
      <c r="W258" s="17"/>
      <c r="X258" s="17"/>
      <c r="Y258" s="17"/>
    </row>
    <row r="259" spans="1:25" x14ac:dyDescent="0.25">
      <c r="A259" s="417" t="s">
        <v>33</v>
      </c>
      <c r="B259" s="425">
        <v>0</v>
      </c>
      <c r="C259" s="426">
        <v>0.05</v>
      </c>
      <c r="D259" s="426">
        <v>0.1</v>
      </c>
      <c r="E259" s="426">
        <v>0.25</v>
      </c>
      <c r="F259" s="426">
        <v>0.3</v>
      </c>
      <c r="G259" s="426">
        <v>0.35</v>
      </c>
      <c r="H259" s="426">
        <v>0.45</v>
      </c>
      <c r="I259" s="426">
        <v>0.55000000000000004</v>
      </c>
      <c r="J259" s="426">
        <v>3.5</v>
      </c>
      <c r="K259" s="426">
        <v>3.6</v>
      </c>
      <c r="L259" s="426">
        <v>3.6</v>
      </c>
      <c r="M259" s="426">
        <v>3.6</v>
      </c>
      <c r="N259" s="426">
        <v>3.6</v>
      </c>
      <c r="O259" s="426">
        <v>3.6</v>
      </c>
      <c r="P259" s="426">
        <v>3.6</v>
      </c>
      <c r="Q259" s="426">
        <v>3.6</v>
      </c>
      <c r="R259" s="426">
        <v>3.6</v>
      </c>
      <c r="S259" s="426">
        <v>3.6</v>
      </c>
      <c r="T259" s="426">
        <v>3.6</v>
      </c>
      <c r="U259" s="426">
        <v>3.6</v>
      </c>
      <c r="V259" s="426">
        <v>3.6</v>
      </c>
      <c r="W259" s="426">
        <v>3.6</v>
      </c>
      <c r="X259" s="426">
        <v>3.6</v>
      </c>
      <c r="Y259" s="437">
        <v>1000</v>
      </c>
    </row>
    <row r="260" spans="1:25" x14ac:dyDescent="0.25">
      <c r="A260" s="434" t="s">
        <v>34</v>
      </c>
      <c r="B260" s="427">
        <v>0</v>
      </c>
      <c r="C260" s="428">
        <v>68</v>
      </c>
      <c r="D260" s="428">
        <v>62</v>
      </c>
      <c r="E260" s="428">
        <v>60</v>
      </c>
      <c r="F260" s="428">
        <v>39</v>
      </c>
      <c r="G260" s="428">
        <v>38</v>
      </c>
      <c r="H260" s="428">
        <v>9</v>
      </c>
      <c r="I260" s="428">
        <v>5</v>
      </c>
      <c r="J260" s="428">
        <v>3</v>
      </c>
      <c r="K260" s="428">
        <v>0</v>
      </c>
      <c r="L260" s="428">
        <v>0</v>
      </c>
      <c r="M260" s="428">
        <v>0</v>
      </c>
      <c r="N260" s="428">
        <v>0</v>
      </c>
      <c r="O260" s="428">
        <v>0</v>
      </c>
      <c r="P260" s="428">
        <v>0</v>
      </c>
      <c r="Q260" s="428">
        <v>0</v>
      </c>
      <c r="R260" s="428">
        <v>0</v>
      </c>
      <c r="S260" s="428">
        <v>0</v>
      </c>
      <c r="T260" s="428">
        <v>0</v>
      </c>
      <c r="U260" s="428">
        <v>0</v>
      </c>
      <c r="V260" s="428">
        <v>0</v>
      </c>
      <c r="W260" s="428">
        <v>0</v>
      </c>
      <c r="X260" s="428">
        <v>0</v>
      </c>
      <c r="Y260" s="438">
        <v>0</v>
      </c>
    </row>
    <row r="261" spans="1:25" ht="13.8" thickBot="1" x14ac:dyDescent="0.3">
      <c r="A261" s="435" t="s">
        <v>117</v>
      </c>
      <c r="B261" s="429">
        <f t="shared" ref="B261:V261" si="88">(C260+B260)*(C259-B259)/2</f>
        <v>1.7000000000000002</v>
      </c>
      <c r="C261" s="430">
        <f t="shared" si="88"/>
        <v>3.25</v>
      </c>
      <c r="D261" s="430">
        <f t="shared" si="88"/>
        <v>9.15</v>
      </c>
      <c r="E261" s="430">
        <f t="shared" si="88"/>
        <v>2.4749999999999996</v>
      </c>
      <c r="F261" s="430">
        <f t="shared" si="88"/>
        <v>1.9249999999999996</v>
      </c>
      <c r="G261" s="430">
        <f t="shared" si="88"/>
        <v>2.350000000000001</v>
      </c>
      <c r="H261" s="430">
        <f t="shared" si="88"/>
        <v>0.70000000000000018</v>
      </c>
      <c r="I261" s="430">
        <f t="shared" si="88"/>
        <v>11.8</v>
      </c>
      <c r="J261" s="430">
        <f t="shared" si="88"/>
        <v>0.15000000000000013</v>
      </c>
      <c r="K261" s="430">
        <f t="shared" si="88"/>
        <v>0</v>
      </c>
      <c r="L261" s="430">
        <f t="shared" si="88"/>
        <v>0</v>
      </c>
      <c r="M261" s="430">
        <f t="shared" si="88"/>
        <v>0</v>
      </c>
      <c r="N261" s="430">
        <f t="shared" si="88"/>
        <v>0</v>
      </c>
      <c r="O261" s="430">
        <f t="shared" si="88"/>
        <v>0</v>
      </c>
      <c r="P261" s="430">
        <f t="shared" si="88"/>
        <v>0</v>
      </c>
      <c r="Q261" s="430">
        <f t="shared" si="88"/>
        <v>0</v>
      </c>
      <c r="R261" s="430">
        <f t="shared" si="88"/>
        <v>0</v>
      </c>
      <c r="S261" s="430">
        <f t="shared" si="88"/>
        <v>0</v>
      </c>
      <c r="T261" s="430">
        <f t="shared" si="88"/>
        <v>0</v>
      </c>
      <c r="U261" s="430">
        <f t="shared" si="88"/>
        <v>0</v>
      </c>
      <c r="V261" s="430">
        <f t="shared" si="88"/>
        <v>0</v>
      </c>
      <c r="W261" s="430">
        <f>(X260+W260)*(X259-W259)/2</f>
        <v>0</v>
      </c>
      <c r="X261" s="430">
        <f>(Y260+X260)*(Y259-X259)/2</f>
        <v>0</v>
      </c>
      <c r="Y261" s="424"/>
    </row>
    <row r="262" spans="1:25" ht="13.8" thickBot="1" x14ac:dyDescent="0.3">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row>
    <row r="263" spans="1:25" ht="13.8" thickBot="1" x14ac:dyDescent="0.3">
      <c r="A263" s="416" t="s">
        <v>276</v>
      </c>
      <c r="B263" s="414">
        <f>ROW(A263)</f>
        <v>263</v>
      </c>
      <c r="C263" s="418" t="s">
        <v>116</v>
      </c>
      <c r="D263" s="408">
        <f>SUM(B266:Y266)</f>
        <v>145.46</v>
      </c>
      <c r="E263" s="418" t="s">
        <v>115</v>
      </c>
      <c r="F263" s="409">
        <f>D263/g/J263</f>
        <v>211.82466870540264</v>
      </c>
      <c r="G263" s="418" t="s">
        <v>57</v>
      </c>
      <c r="H263" s="86">
        <v>0.22</v>
      </c>
      <c r="I263" s="418" t="s">
        <v>272</v>
      </c>
      <c r="J263" s="410">
        <f>H263-L263</f>
        <v>7.0000000000000007E-2</v>
      </c>
      <c r="K263" s="418" t="s">
        <v>273</v>
      </c>
      <c r="L263" s="86">
        <v>0.15</v>
      </c>
      <c r="M263" s="418" t="s">
        <v>58</v>
      </c>
      <c r="N263" s="87">
        <v>50</v>
      </c>
      <c r="O263" s="418" t="s">
        <v>60</v>
      </c>
      <c r="P263" s="87">
        <v>55</v>
      </c>
      <c r="Q263" s="418" t="s">
        <v>61</v>
      </c>
      <c r="R263" s="87">
        <v>76</v>
      </c>
      <c r="S263" s="418" t="s">
        <v>62</v>
      </c>
      <c r="T263" s="87">
        <v>40</v>
      </c>
      <c r="U263" s="418" t="s">
        <v>55</v>
      </c>
      <c r="V263" s="88" t="s">
        <v>403</v>
      </c>
      <c r="W263" s="17"/>
      <c r="X263" s="17"/>
      <c r="Y263" s="17"/>
    </row>
    <row r="264" spans="1:25" x14ac:dyDescent="0.25">
      <c r="A264" s="417" t="s">
        <v>33</v>
      </c>
      <c r="B264" s="425">
        <v>0</v>
      </c>
      <c r="C264" s="426">
        <v>0.02</v>
      </c>
      <c r="D264" s="426">
        <v>0.04</v>
      </c>
      <c r="E264" s="426">
        <v>0.05</v>
      </c>
      <c r="F264" s="426">
        <v>0.06</v>
      </c>
      <c r="G264" s="426">
        <v>0.94</v>
      </c>
      <c r="H264" s="432">
        <v>0.94200000000000006</v>
      </c>
      <c r="I264" s="426">
        <v>0.95</v>
      </c>
      <c r="J264" s="426">
        <v>0.95</v>
      </c>
      <c r="K264" s="426">
        <v>0.95</v>
      </c>
      <c r="L264" s="426">
        <v>0.95</v>
      </c>
      <c r="M264" s="426">
        <v>0.95</v>
      </c>
      <c r="N264" s="426">
        <v>0.95</v>
      </c>
      <c r="O264" s="426">
        <v>0.95</v>
      </c>
      <c r="P264" s="426">
        <v>0.95</v>
      </c>
      <c r="Q264" s="426">
        <v>0.95</v>
      </c>
      <c r="R264" s="426">
        <v>0.95</v>
      </c>
      <c r="S264" s="426">
        <v>0.95</v>
      </c>
      <c r="T264" s="426">
        <v>0.95</v>
      </c>
      <c r="U264" s="426">
        <v>0.95</v>
      </c>
      <c r="V264" s="426">
        <v>0.95</v>
      </c>
      <c r="W264" s="426">
        <v>0.95</v>
      </c>
      <c r="X264" s="426">
        <v>2</v>
      </c>
      <c r="Y264" s="437">
        <v>1000</v>
      </c>
    </row>
    <row r="265" spans="1:25" x14ac:dyDescent="0.25">
      <c r="A265" s="434" t="s">
        <v>34</v>
      </c>
      <c r="B265" s="427">
        <v>0</v>
      </c>
      <c r="C265" s="428">
        <v>320</v>
      </c>
      <c r="D265" s="428">
        <v>170</v>
      </c>
      <c r="E265" s="428">
        <v>205</v>
      </c>
      <c r="F265" s="428">
        <v>217</v>
      </c>
      <c r="G265" s="428">
        <v>85</v>
      </c>
      <c r="H265" s="428">
        <v>82</v>
      </c>
      <c r="I265" s="428">
        <v>0</v>
      </c>
      <c r="J265" s="428">
        <v>0</v>
      </c>
      <c r="K265" s="428">
        <v>0</v>
      </c>
      <c r="L265" s="428">
        <v>0</v>
      </c>
      <c r="M265" s="428">
        <v>0</v>
      </c>
      <c r="N265" s="428">
        <v>0</v>
      </c>
      <c r="O265" s="428">
        <v>0</v>
      </c>
      <c r="P265" s="428">
        <v>0</v>
      </c>
      <c r="Q265" s="428">
        <v>0</v>
      </c>
      <c r="R265" s="428">
        <v>0</v>
      </c>
      <c r="S265" s="428">
        <v>0</v>
      </c>
      <c r="T265" s="428">
        <v>0</v>
      </c>
      <c r="U265" s="428">
        <v>0</v>
      </c>
      <c r="V265" s="428">
        <v>0</v>
      </c>
      <c r="W265" s="428">
        <v>0</v>
      </c>
      <c r="X265" s="428">
        <v>0</v>
      </c>
      <c r="Y265" s="438">
        <v>0</v>
      </c>
    </row>
    <row r="266" spans="1:25" ht="13.8" thickBot="1" x14ac:dyDescent="0.3">
      <c r="A266" s="435" t="s">
        <v>117</v>
      </c>
      <c r="B266" s="429">
        <f t="shared" ref="B266:H266" si="89">(C265+B265)*(C264-B264)/2</f>
        <v>3.2</v>
      </c>
      <c r="C266" s="430">
        <f t="shared" si="89"/>
        <v>4.9000000000000004</v>
      </c>
      <c r="D266" s="430">
        <f t="shared" si="89"/>
        <v>1.8750000000000004</v>
      </c>
      <c r="E266" s="430">
        <f t="shared" si="89"/>
        <v>2.109999999999999</v>
      </c>
      <c r="F266" s="430">
        <f t="shared" si="89"/>
        <v>132.88</v>
      </c>
      <c r="G266" s="430">
        <f t="shared" si="89"/>
        <v>0.16700000000000942</v>
      </c>
      <c r="H266" s="430">
        <f t="shared" si="89"/>
        <v>0.32799999999999574</v>
      </c>
      <c r="I266" s="430">
        <f t="shared" ref="I266:V266" si="90">(J265+I265)*(J264-I264)/2</f>
        <v>0</v>
      </c>
      <c r="J266" s="430">
        <f>(K265+J265)*(K264-J264)/2</f>
        <v>0</v>
      </c>
      <c r="K266" s="430">
        <f t="shared" si="90"/>
        <v>0</v>
      </c>
      <c r="L266" s="430">
        <f t="shared" si="90"/>
        <v>0</v>
      </c>
      <c r="M266" s="430">
        <f t="shared" si="90"/>
        <v>0</v>
      </c>
      <c r="N266" s="430">
        <f t="shared" si="90"/>
        <v>0</v>
      </c>
      <c r="O266" s="430">
        <f t="shared" si="90"/>
        <v>0</v>
      </c>
      <c r="P266" s="430">
        <f t="shared" si="90"/>
        <v>0</v>
      </c>
      <c r="Q266" s="430">
        <f t="shared" si="90"/>
        <v>0</v>
      </c>
      <c r="R266" s="430">
        <f t="shared" si="90"/>
        <v>0</v>
      </c>
      <c r="S266" s="430">
        <f>(T265+S265)*(T264-S264)/2</f>
        <v>0</v>
      </c>
      <c r="T266" s="430">
        <f t="shared" si="90"/>
        <v>0</v>
      </c>
      <c r="U266" s="430">
        <f t="shared" si="90"/>
        <v>0</v>
      </c>
      <c r="V266" s="430">
        <f t="shared" si="90"/>
        <v>0</v>
      </c>
      <c r="W266" s="430">
        <f>(X265+W265)*(X264-W264)/2</f>
        <v>0</v>
      </c>
      <c r="X266" s="430">
        <f>(Y265+X265)*(Y264-X264)/2</f>
        <v>0</v>
      </c>
      <c r="Y266" s="424"/>
    </row>
    <row r="267" spans="1:25" x14ac:dyDescent="0.25">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row>
    <row r="268" spans="1:25" ht="13.8" thickBot="1" x14ac:dyDescent="0.3">
      <c r="A268" s="492" t="s">
        <v>314</v>
      </c>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row>
    <row r="269" spans="1:25" ht="13.8" thickBot="1" x14ac:dyDescent="0.3">
      <c r="A269" s="416" t="s">
        <v>35</v>
      </c>
      <c r="B269" s="414">
        <f>ROW(A269)</f>
        <v>269</v>
      </c>
      <c r="C269" s="418" t="s">
        <v>116</v>
      </c>
      <c r="D269" s="408">
        <f>SUM(B272:Y272)</f>
        <v>1071.5999999999999</v>
      </c>
      <c r="E269" s="418" t="s">
        <v>115</v>
      </c>
      <c r="F269" s="409">
        <f>D269/g/J269</f>
        <v>163.03802090465106</v>
      </c>
      <c r="G269" s="418" t="s">
        <v>57</v>
      </c>
      <c r="H269" s="86">
        <v>2.02</v>
      </c>
      <c r="I269" s="418" t="s">
        <v>272</v>
      </c>
      <c r="J269" s="410">
        <f>H269-L269</f>
        <v>0.66999999999999993</v>
      </c>
      <c r="K269" s="418" t="s">
        <v>273</v>
      </c>
      <c r="L269" s="86">
        <v>1.35</v>
      </c>
      <c r="M269" s="418" t="s">
        <v>58</v>
      </c>
      <c r="N269" s="87">
        <v>154</v>
      </c>
      <c r="O269" s="418" t="s">
        <v>60</v>
      </c>
      <c r="P269" s="87">
        <v>168</v>
      </c>
      <c r="Q269" s="418" t="s">
        <v>61</v>
      </c>
      <c r="R269" s="87">
        <v>230</v>
      </c>
      <c r="S269" s="418" t="s">
        <v>62</v>
      </c>
      <c r="T269" s="87">
        <v>67</v>
      </c>
      <c r="U269" s="418" t="s">
        <v>55</v>
      </c>
      <c r="V269" s="88" t="s">
        <v>119</v>
      </c>
      <c r="W269" s="17"/>
      <c r="X269" s="17"/>
      <c r="Y269" s="17"/>
    </row>
    <row r="270" spans="1:25" x14ac:dyDescent="0.25">
      <c r="A270" s="417" t="s">
        <v>33</v>
      </c>
      <c r="B270" s="425">
        <v>0</v>
      </c>
      <c r="C270" s="426">
        <v>0.02</v>
      </c>
      <c r="D270" s="426">
        <v>0.05</v>
      </c>
      <c r="E270" s="426">
        <v>0.06</v>
      </c>
      <c r="F270" s="426">
        <v>0.09</v>
      </c>
      <c r="G270" s="426">
        <v>0.17</v>
      </c>
      <c r="H270" s="426">
        <v>0.2</v>
      </c>
      <c r="I270" s="426">
        <v>0.38</v>
      </c>
      <c r="J270" s="426">
        <v>0.75</v>
      </c>
      <c r="K270" s="426">
        <v>0.79</v>
      </c>
      <c r="L270" s="426">
        <v>1.1299999999999999</v>
      </c>
      <c r="M270" s="426">
        <v>1.2</v>
      </c>
      <c r="N270" s="426">
        <v>1.5</v>
      </c>
      <c r="O270" s="426">
        <v>1.54</v>
      </c>
      <c r="P270" s="426">
        <v>1.65</v>
      </c>
      <c r="Q270" s="426">
        <v>1.7</v>
      </c>
      <c r="R270" s="426">
        <v>1.79</v>
      </c>
      <c r="S270" s="426">
        <v>1.79</v>
      </c>
      <c r="T270" s="426">
        <v>1.79</v>
      </c>
      <c r="U270" s="426">
        <v>1.79</v>
      </c>
      <c r="V270" s="426">
        <v>1.79</v>
      </c>
      <c r="W270" s="426">
        <v>1.79</v>
      </c>
      <c r="X270" s="426">
        <v>1.79</v>
      </c>
      <c r="Y270" s="437">
        <v>1000</v>
      </c>
    </row>
    <row r="271" spans="1:25" x14ac:dyDescent="0.25">
      <c r="A271" s="434" t="s">
        <v>34</v>
      </c>
      <c r="B271" s="427">
        <v>0</v>
      </c>
      <c r="C271" s="428">
        <v>20</v>
      </c>
      <c r="D271" s="428">
        <v>870</v>
      </c>
      <c r="E271" s="428">
        <v>530</v>
      </c>
      <c r="F271" s="428">
        <v>790</v>
      </c>
      <c r="G271" s="428">
        <v>700</v>
      </c>
      <c r="H271" s="428">
        <v>710</v>
      </c>
      <c r="I271" s="428">
        <v>670</v>
      </c>
      <c r="J271" s="428">
        <v>630</v>
      </c>
      <c r="K271" s="428">
        <v>630</v>
      </c>
      <c r="L271" s="433">
        <v>710</v>
      </c>
      <c r="M271" s="433">
        <v>690</v>
      </c>
      <c r="N271" s="433">
        <v>690</v>
      </c>
      <c r="O271" s="433">
        <v>660</v>
      </c>
      <c r="P271" s="433">
        <v>160</v>
      </c>
      <c r="Q271" s="433">
        <v>10</v>
      </c>
      <c r="R271" s="433">
        <v>0</v>
      </c>
      <c r="S271" s="433">
        <v>0</v>
      </c>
      <c r="T271" s="433">
        <v>0</v>
      </c>
      <c r="U271" s="433">
        <v>0</v>
      </c>
      <c r="V271" s="433">
        <v>0</v>
      </c>
      <c r="W271" s="433">
        <v>0</v>
      </c>
      <c r="X271" s="433">
        <v>0</v>
      </c>
      <c r="Y271" s="439">
        <v>0</v>
      </c>
    </row>
    <row r="272" spans="1:25" ht="13.8" thickBot="1" x14ac:dyDescent="0.3">
      <c r="A272" s="435" t="s">
        <v>117</v>
      </c>
      <c r="B272" s="429">
        <f t="shared" ref="B272:Q272" si="91">(C271+B271)*(C270-B270)/2</f>
        <v>0.2</v>
      </c>
      <c r="C272" s="430">
        <f t="shared" si="91"/>
        <v>13.350000000000001</v>
      </c>
      <c r="D272" s="430">
        <f t="shared" si="91"/>
        <v>6.9999999999999964</v>
      </c>
      <c r="E272" s="430">
        <f t="shared" si="91"/>
        <v>19.8</v>
      </c>
      <c r="F272" s="430">
        <f t="shared" si="91"/>
        <v>59.600000000000009</v>
      </c>
      <c r="G272" s="430">
        <f t="shared" si="91"/>
        <v>21.15</v>
      </c>
      <c r="H272" s="430">
        <f t="shared" si="91"/>
        <v>124.19999999999999</v>
      </c>
      <c r="I272" s="430">
        <f t="shared" si="91"/>
        <v>240.5</v>
      </c>
      <c r="J272" s="430">
        <f>(K271+J271)*(K270-J270)/2</f>
        <v>25.200000000000024</v>
      </c>
      <c r="K272" s="430">
        <f t="shared" si="91"/>
        <v>227.7999999999999</v>
      </c>
      <c r="L272" s="430">
        <f t="shared" si="91"/>
        <v>49.000000000000043</v>
      </c>
      <c r="M272" s="430">
        <f t="shared" si="91"/>
        <v>207.00000000000003</v>
      </c>
      <c r="N272" s="430">
        <f t="shared" si="91"/>
        <v>27.000000000000025</v>
      </c>
      <c r="O272" s="430">
        <f t="shared" si="91"/>
        <v>45.099999999999952</v>
      </c>
      <c r="P272" s="430">
        <f t="shared" si="91"/>
        <v>4.2500000000000036</v>
      </c>
      <c r="Q272" s="430">
        <f t="shared" si="91"/>
        <v>0.4500000000000004</v>
      </c>
      <c r="R272" s="430">
        <f t="shared" ref="R272:X272" si="92">(S271+R271)*(S270-R270)/2</f>
        <v>0</v>
      </c>
      <c r="S272" s="430">
        <f t="shared" si="92"/>
        <v>0</v>
      </c>
      <c r="T272" s="430">
        <f t="shared" si="92"/>
        <v>0</v>
      </c>
      <c r="U272" s="430">
        <f t="shared" si="92"/>
        <v>0</v>
      </c>
      <c r="V272" s="430">
        <f t="shared" si="92"/>
        <v>0</v>
      </c>
      <c r="W272" s="430">
        <f t="shared" si="92"/>
        <v>0</v>
      </c>
      <c r="X272" s="430">
        <f t="shared" si="92"/>
        <v>0</v>
      </c>
      <c r="Y272" s="440"/>
    </row>
    <row r="273" spans="1:25" ht="13.8" thickBot="1" x14ac:dyDescent="0.3">
      <c r="S273" s="17"/>
      <c r="T273" s="17"/>
      <c r="U273" s="17"/>
      <c r="V273" s="17"/>
      <c r="W273" s="112"/>
      <c r="X273" s="112"/>
      <c r="Y273" s="17"/>
    </row>
    <row r="274" spans="1:25" ht="13.8" thickBot="1" x14ac:dyDescent="0.3">
      <c r="A274" s="416" t="s">
        <v>36</v>
      </c>
      <c r="B274" s="414">
        <f>ROW(A274)</f>
        <v>274</v>
      </c>
      <c r="C274" s="418" t="s">
        <v>116</v>
      </c>
      <c r="D274" s="408">
        <f>SUM(B277:Y277)</f>
        <v>2102.35</v>
      </c>
      <c r="E274" s="418" t="s">
        <v>115</v>
      </c>
      <c r="F274" s="409">
        <f>D274/g/J274</f>
        <v>174.23319493133766</v>
      </c>
      <c r="G274" s="418" t="s">
        <v>57</v>
      </c>
      <c r="H274" s="86">
        <v>3.7</v>
      </c>
      <c r="I274" s="418" t="s">
        <v>272</v>
      </c>
      <c r="J274" s="410">
        <f>H274-L274</f>
        <v>1.23</v>
      </c>
      <c r="K274" s="418" t="s">
        <v>273</v>
      </c>
      <c r="L274" s="86">
        <v>2.4700000000000002</v>
      </c>
      <c r="M274" s="418" t="s">
        <v>58</v>
      </c>
      <c r="N274" s="87">
        <v>151</v>
      </c>
      <c r="O274" s="418" t="s">
        <v>60</v>
      </c>
      <c r="P274" s="87">
        <v>171</v>
      </c>
      <c r="Q274" s="418" t="s">
        <v>61</v>
      </c>
      <c r="R274" s="87">
        <v>247</v>
      </c>
      <c r="S274" s="418" t="s">
        <v>62</v>
      </c>
      <c r="T274" s="87">
        <v>90</v>
      </c>
      <c r="U274" s="418" t="s">
        <v>55</v>
      </c>
      <c r="V274" s="88" t="s">
        <v>119</v>
      </c>
      <c r="W274" s="17"/>
      <c r="X274" s="17"/>
      <c r="Y274" s="17"/>
    </row>
    <row r="275" spans="1:25" x14ac:dyDescent="0.25">
      <c r="A275" s="417" t="s">
        <v>33</v>
      </c>
      <c r="B275" s="425">
        <v>0</v>
      </c>
      <c r="C275" s="426">
        <v>0.05</v>
      </c>
      <c r="D275" s="426">
        <v>0.1</v>
      </c>
      <c r="E275" s="426">
        <v>1</v>
      </c>
      <c r="F275" s="426">
        <v>1.35</v>
      </c>
      <c r="G275" s="426">
        <v>1.75</v>
      </c>
      <c r="H275" s="426">
        <v>2.15</v>
      </c>
      <c r="I275" s="426">
        <v>2.25</v>
      </c>
      <c r="J275" s="426">
        <v>2.48</v>
      </c>
      <c r="K275" s="426">
        <v>2.6</v>
      </c>
      <c r="L275" s="426">
        <v>2.8</v>
      </c>
      <c r="M275" s="426">
        <v>2.8</v>
      </c>
      <c r="N275" s="426">
        <v>2.8</v>
      </c>
      <c r="O275" s="426">
        <v>2.8</v>
      </c>
      <c r="P275" s="426">
        <v>2.8</v>
      </c>
      <c r="Q275" s="426">
        <v>2.8</v>
      </c>
      <c r="R275" s="426">
        <v>2.8</v>
      </c>
      <c r="S275" s="426">
        <v>2.8</v>
      </c>
      <c r="T275" s="426">
        <v>2.8</v>
      </c>
      <c r="U275" s="426">
        <v>2.8</v>
      </c>
      <c r="V275" s="426">
        <v>2.8</v>
      </c>
      <c r="W275" s="426">
        <v>2.8</v>
      </c>
      <c r="X275" s="426">
        <v>2.8</v>
      </c>
      <c r="Y275" s="437">
        <v>1000</v>
      </c>
    </row>
    <row r="276" spans="1:25" x14ac:dyDescent="0.25">
      <c r="A276" s="434" t="s">
        <v>34</v>
      </c>
      <c r="B276" s="427">
        <v>0</v>
      </c>
      <c r="C276" s="428">
        <v>860</v>
      </c>
      <c r="D276" s="428">
        <v>840</v>
      </c>
      <c r="E276" s="428">
        <v>840</v>
      </c>
      <c r="F276" s="428">
        <v>850</v>
      </c>
      <c r="G276" s="428">
        <v>900</v>
      </c>
      <c r="H276" s="428">
        <v>1050</v>
      </c>
      <c r="I276" s="428">
        <v>1020</v>
      </c>
      <c r="J276" s="428">
        <v>120</v>
      </c>
      <c r="K276" s="428">
        <v>30</v>
      </c>
      <c r="L276" s="428">
        <v>0</v>
      </c>
      <c r="M276" s="428">
        <v>0</v>
      </c>
      <c r="N276" s="428">
        <v>0</v>
      </c>
      <c r="O276" s="428">
        <v>0</v>
      </c>
      <c r="P276" s="428">
        <v>0</v>
      </c>
      <c r="Q276" s="428">
        <v>0</v>
      </c>
      <c r="R276" s="428">
        <v>0</v>
      </c>
      <c r="S276" s="428">
        <v>0</v>
      </c>
      <c r="T276" s="428">
        <v>0</v>
      </c>
      <c r="U276" s="428">
        <v>0</v>
      </c>
      <c r="V276" s="428">
        <v>0</v>
      </c>
      <c r="W276" s="428">
        <v>0</v>
      </c>
      <c r="X276" s="428">
        <v>0</v>
      </c>
      <c r="Y276" s="438">
        <v>0</v>
      </c>
    </row>
    <row r="277" spans="1:25" ht="13.8" thickBot="1" x14ac:dyDescent="0.3">
      <c r="A277" s="435" t="s">
        <v>117</v>
      </c>
      <c r="B277" s="429">
        <f t="shared" ref="B277:K277" si="93">(C276+B276)*(C275-B275)/2</f>
        <v>21.5</v>
      </c>
      <c r="C277" s="430">
        <f t="shared" si="93"/>
        <v>42.5</v>
      </c>
      <c r="D277" s="430">
        <f t="shared" si="93"/>
        <v>756</v>
      </c>
      <c r="E277" s="430">
        <f t="shared" si="93"/>
        <v>295.75000000000006</v>
      </c>
      <c r="F277" s="430">
        <f t="shared" si="93"/>
        <v>349.99999999999994</v>
      </c>
      <c r="G277" s="430">
        <f t="shared" si="93"/>
        <v>389.99999999999989</v>
      </c>
      <c r="H277" s="430">
        <f t="shared" si="93"/>
        <v>103.50000000000009</v>
      </c>
      <c r="I277" s="430">
        <f t="shared" si="93"/>
        <v>131.1</v>
      </c>
      <c r="J277" s="430">
        <f>(K276+J276)*(K275-J275)/2</f>
        <v>9.0000000000000071</v>
      </c>
      <c r="K277" s="430">
        <f t="shared" si="93"/>
        <v>2.999999999999996</v>
      </c>
      <c r="L277" s="430">
        <f t="shared" ref="L277:V277" si="94">(M276+L276)*(M275-L275)/2</f>
        <v>0</v>
      </c>
      <c r="M277" s="430">
        <f t="shared" si="94"/>
        <v>0</v>
      </c>
      <c r="N277" s="430">
        <f t="shared" si="94"/>
        <v>0</v>
      </c>
      <c r="O277" s="430">
        <f t="shared" si="94"/>
        <v>0</v>
      </c>
      <c r="P277" s="430">
        <f t="shared" si="94"/>
        <v>0</v>
      </c>
      <c r="Q277" s="430">
        <f t="shared" si="94"/>
        <v>0</v>
      </c>
      <c r="R277" s="430">
        <f t="shared" si="94"/>
        <v>0</v>
      </c>
      <c r="S277" s="430">
        <f>(T276+S276)*(T275-S275)/2</f>
        <v>0</v>
      </c>
      <c r="T277" s="430">
        <f t="shared" si="94"/>
        <v>0</v>
      </c>
      <c r="U277" s="430">
        <f t="shared" si="94"/>
        <v>0</v>
      </c>
      <c r="V277" s="430">
        <f t="shared" si="94"/>
        <v>0</v>
      </c>
      <c r="W277" s="430">
        <f>(X276+W276)*(X275-W275)/2</f>
        <v>0</v>
      </c>
      <c r="X277" s="430">
        <f>(Y276+X276)*(Y275-X275)/2</f>
        <v>0</v>
      </c>
      <c r="Y277" s="424"/>
    </row>
    <row r="278" spans="1:25" ht="13.8" thickBot="1" x14ac:dyDescent="0.3"/>
    <row r="279" spans="1:25" ht="13.8" thickBot="1" x14ac:dyDescent="0.3">
      <c r="A279" s="416" t="s">
        <v>554</v>
      </c>
      <c r="B279" s="414">
        <f>ROW(A279)</f>
        <v>279</v>
      </c>
      <c r="C279" s="418" t="s">
        <v>116</v>
      </c>
      <c r="D279" s="408">
        <f>SUM(B282:Y282)</f>
        <v>2058.37</v>
      </c>
      <c r="E279" s="418" t="s">
        <v>115</v>
      </c>
      <c r="F279" s="409">
        <f>D279/g/J279</f>
        <v>203.12066731598335</v>
      </c>
      <c r="G279" s="418" t="s">
        <v>57</v>
      </c>
      <c r="H279" s="86">
        <v>1.6850000000000001</v>
      </c>
      <c r="I279" s="418" t="s">
        <v>272</v>
      </c>
      <c r="J279" s="410">
        <f>H279-L279</f>
        <v>1.0329999999999999</v>
      </c>
      <c r="K279" s="418" t="s">
        <v>273</v>
      </c>
      <c r="L279" s="86">
        <v>0.65200000000000002</v>
      </c>
      <c r="M279" s="418" t="s">
        <v>58</v>
      </c>
      <c r="N279" s="87">
        <v>250</v>
      </c>
      <c r="O279" s="418" t="s">
        <v>60</v>
      </c>
      <c r="P279" s="87">
        <v>240</v>
      </c>
      <c r="Q279" s="418" t="s">
        <v>61</v>
      </c>
      <c r="R279" s="87">
        <v>488</v>
      </c>
      <c r="S279" s="418" t="s">
        <v>62</v>
      </c>
      <c r="T279" s="87">
        <v>54</v>
      </c>
      <c r="U279" s="418" t="s">
        <v>55</v>
      </c>
      <c r="V279" s="88" t="s">
        <v>119</v>
      </c>
      <c r="W279" s="17"/>
      <c r="X279" s="17"/>
      <c r="Y279" s="17"/>
    </row>
    <row r="280" spans="1:25" x14ac:dyDescent="0.25">
      <c r="A280" s="417" t="s">
        <v>33</v>
      </c>
      <c r="B280" s="425">
        <v>0</v>
      </c>
      <c r="C280" s="426">
        <v>0.05</v>
      </c>
      <c r="D280" s="426">
        <v>0.5</v>
      </c>
      <c r="E280" s="426">
        <v>1</v>
      </c>
      <c r="F280" s="426">
        <v>1.5</v>
      </c>
      <c r="G280" s="426">
        <v>2</v>
      </c>
      <c r="H280" s="426">
        <v>2.5</v>
      </c>
      <c r="I280" s="426">
        <v>2.97</v>
      </c>
      <c r="J280" s="426">
        <v>3.2</v>
      </c>
      <c r="K280" s="426">
        <v>3.47</v>
      </c>
      <c r="L280" s="426">
        <v>3.59</v>
      </c>
      <c r="M280" s="426">
        <v>3.59</v>
      </c>
      <c r="N280" s="426">
        <v>3.59</v>
      </c>
      <c r="O280" s="426">
        <v>3.59</v>
      </c>
      <c r="P280" s="426">
        <v>3.59</v>
      </c>
      <c r="Q280" s="426">
        <v>3.59</v>
      </c>
      <c r="R280" s="426">
        <v>3.59</v>
      </c>
      <c r="S280" s="426">
        <v>3.59</v>
      </c>
      <c r="T280" s="426">
        <v>3.59</v>
      </c>
      <c r="U280" s="426">
        <v>3.59</v>
      </c>
      <c r="V280" s="426">
        <v>3.59</v>
      </c>
      <c r="W280" s="426">
        <v>3.59</v>
      </c>
      <c r="X280" s="426">
        <v>3.59</v>
      </c>
      <c r="Y280" s="437">
        <v>1000</v>
      </c>
    </row>
    <row r="281" spans="1:25" x14ac:dyDescent="0.25">
      <c r="A281" s="434" t="s">
        <v>34</v>
      </c>
      <c r="B281" s="427">
        <v>0</v>
      </c>
      <c r="C281" s="428">
        <v>893</v>
      </c>
      <c r="D281" s="428">
        <v>798</v>
      </c>
      <c r="E281" s="428">
        <v>739</v>
      </c>
      <c r="F281" s="428">
        <v>659</v>
      </c>
      <c r="G281" s="428">
        <v>586</v>
      </c>
      <c r="H281" s="428">
        <v>513</v>
      </c>
      <c r="I281" s="428">
        <v>417</v>
      </c>
      <c r="J281" s="428">
        <v>225</v>
      </c>
      <c r="K281" s="428">
        <v>67</v>
      </c>
      <c r="L281" s="428">
        <v>0</v>
      </c>
      <c r="M281" s="428">
        <v>0</v>
      </c>
      <c r="N281" s="428">
        <v>0</v>
      </c>
      <c r="O281" s="428">
        <v>0</v>
      </c>
      <c r="P281" s="428">
        <v>0</v>
      </c>
      <c r="Q281" s="428">
        <v>0</v>
      </c>
      <c r="R281" s="428">
        <v>0</v>
      </c>
      <c r="S281" s="428">
        <v>0</v>
      </c>
      <c r="T281" s="428">
        <v>0</v>
      </c>
      <c r="U281" s="428">
        <v>0</v>
      </c>
      <c r="V281" s="428">
        <v>0</v>
      </c>
      <c r="W281" s="428">
        <v>0</v>
      </c>
      <c r="X281" s="428">
        <v>0</v>
      </c>
      <c r="Y281" s="438">
        <v>0</v>
      </c>
    </row>
    <row r="282" spans="1:25" ht="13.8" thickBot="1" x14ac:dyDescent="0.3">
      <c r="A282" s="436" t="s">
        <v>117</v>
      </c>
      <c r="B282" s="429">
        <f t="shared" ref="B282:V282" si="95">(C281+B281)*(C280-B280)/2</f>
        <v>22.325000000000003</v>
      </c>
      <c r="C282" s="430">
        <f t="shared" si="95"/>
        <v>380.47500000000002</v>
      </c>
      <c r="D282" s="430">
        <f t="shared" si="95"/>
        <v>384.25</v>
      </c>
      <c r="E282" s="430">
        <f t="shared" si="95"/>
        <v>349.5</v>
      </c>
      <c r="F282" s="430">
        <f t="shared" si="95"/>
        <v>311.25</v>
      </c>
      <c r="G282" s="430">
        <f t="shared" si="95"/>
        <v>274.75</v>
      </c>
      <c r="H282" s="430">
        <f t="shared" si="95"/>
        <v>218.5500000000001</v>
      </c>
      <c r="I282" s="430">
        <f t="shared" si="95"/>
        <v>73.83</v>
      </c>
      <c r="J282" s="430">
        <f>(K281+J281)*(K280-J280)/2</f>
        <v>39.42</v>
      </c>
      <c r="K282" s="430">
        <f t="shared" si="95"/>
        <v>4.0199999999999889</v>
      </c>
      <c r="L282" s="430">
        <f t="shared" si="95"/>
        <v>0</v>
      </c>
      <c r="M282" s="430">
        <f t="shared" si="95"/>
        <v>0</v>
      </c>
      <c r="N282" s="430">
        <f t="shared" si="95"/>
        <v>0</v>
      </c>
      <c r="O282" s="430">
        <f t="shared" si="95"/>
        <v>0</v>
      </c>
      <c r="P282" s="430">
        <f t="shared" si="95"/>
        <v>0</v>
      </c>
      <c r="Q282" s="430">
        <f t="shared" si="95"/>
        <v>0</v>
      </c>
      <c r="R282" s="430">
        <f t="shared" si="95"/>
        <v>0</v>
      </c>
      <c r="S282" s="430">
        <f>(T281+S281)*(T280-S280)/2</f>
        <v>0</v>
      </c>
      <c r="T282" s="430">
        <f t="shared" si="95"/>
        <v>0</v>
      </c>
      <c r="U282" s="430">
        <f t="shared" si="95"/>
        <v>0</v>
      </c>
      <c r="V282" s="430">
        <f t="shared" si="95"/>
        <v>0</v>
      </c>
      <c r="W282" s="430">
        <f>(X281+W281)*(X280-W280)/2</f>
        <v>0</v>
      </c>
      <c r="X282" s="430">
        <f>(Y281+X281)*(Y280-X280)/2</f>
        <v>0</v>
      </c>
      <c r="Y282" s="424"/>
    </row>
    <row r="283" spans="1:25" ht="13.8" thickBot="1" x14ac:dyDescent="0.3">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row>
    <row r="284" spans="1:25" ht="13.8" thickBot="1" x14ac:dyDescent="0.3">
      <c r="A284" s="416" t="s">
        <v>37</v>
      </c>
      <c r="B284" s="414">
        <f>ROW(A284)</f>
        <v>284</v>
      </c>
      <c r="C284" s="418" t="s">
        <v>116</v>
      </c>
      <c r="D284" s="408">
        <f>SUM(B287:Y287)</f>
        <v>2486.041999999999</v>
      </c>
      <c r="E284" s="418" t="s">
        <v>115</v>
      </c>
      <c r="F284" s="409">
        <f>D284/g/J284</f>
        <v>199.54264891200521</v>
      </c>
      <c r="G284" s="418" t="s">
        <v>57</v>
      </c>
      <c r="H284" s="86">
        <v>2.59</v>
      </c>
      <c r="I284" s="418" t="s">
        <v>272</v>
      </c>
      <c r="J284" s="410">
        <f>H284-L284</f>
        <v>1.2699999999999998</v>
      </c>
      <c r="K284" s="418" t="s">
        <v>273</v>
      </c>
      <c r="L284" s="86">
        <v>1.32</v>
      </c>
      <c r="M284" s="418" t="s">
        <v>58</v>
      </c>
      <c r="N284" s="87">
        <v>175</v>
      </c>
      <c r="O284" s="418" t="s">
        <v>60</v>
      </c>
      <c r="P284" s="87">
        <v>175</v>
      </c>
      <c r="Q284" s="418" t="s">
        <v>61</v>
      </c>
      <c r="R284" s="87">
        <v>350</v>
      </c>
      <c r="S284" s="418" t="s">
        <v>62</v>
      </c>
      <c r="T284" s="87">
        <v>75</v>
      </c>
      <c r="U284" s="418" t="s">
        <v>55</v>
      </c>
      <c r="V284" s="88" t="s">
        <v>119</v>
      </c>
      <c r="W284" s="17"/>
      <c r="X284" s="17"/>
      <c r="Y284" s="17"/>
    </row>
    <row r="285" spans="1:25" x14ac:dyDescent="0.25">
      <c r="A285" s="417" t="s">
        <v>33</v>
      </c>
      <c r="B285" s="425">
        <v>0</v>
      </c>
      <c r="C285" s="426">
        <v>0.04</v>
      </c>
      <c r="D285" s="426">
        <v>7.0000000000000007E-2</v>
      </c>
      <c r="E285" s="426">
        <v>0.1</v>
      </c>
      <c r="F285" s="426">
        <v>0.21</v>
      </c>
      <c r="G285" s="426">
        <v>0.35</v>
      </c>
      <c r="H285" s="426">
        <v>0.53</v>
      </c>
      <c r="I285" s="426">
        <v>0.82</v>
      </c>
      <c r="J285" s="426">
        <v>1.18</v>
      </c>
      <c r="K285" s="426">
        <v>1.72</v>
      </c>
      <c r="L285" s="426">
        <v>2.15</v>
      </c>
      <c r="M285" s="426">
        <v>2.39</v>
      </c>
      <c r="N285" s="426">
        <v>2.9</v>
      </c>
      <c r="O285" s="426">
        <v>3.07</v>
      </c>
      <c r="P285" s="426">
        <v>3.56</v>
      </c>
      <c r="Q285" s="426">
        <v>3.98</v>
      </c>
      <c r="R285" s="426">
        <v>4.32</v>
      </c>
      <c r="S285" s="426">
        <v>4.4800000000000004</v>
      </c>
      <c r="T285" s="426">
        <v>4.5999999999999996</v>
      </c>
      <c r="U285" s="426">
        <v>4.6500000000000004</v>
      </c>
      <c r="V285" s="426">
        <v>4.8</v>
      </c>
      <c r="W285" s="426">
        <v>4.83</v>
      </c>
      <c r="X285" s="426">
        <v>4.84</v>
      </c>
      <c r="Y285" s="437">
        <v>1000</v>
      </c>
    </row>
    <row r="286" spans="1:25" x14ac:dyDescent="0.25">
      <c r="A286" s="434" t="s">
        <v>34</v>
      </c>
      <c r="B286" s="427">
        <v>0</v>
      </c>
      <c r="C286" s="428">
        <v>394.4</v>
      </c>
      <c r="D286" s="428">
        <v>617.70000000000005</v>
      </c>
      <c r="E286" s="428">
        <v>645.1</v>
      </c>
      <c r="F286" s="428">
        <v>658.2</v>
      </c>
      <c r="G286" s="428">
        <v>669.2</v>
      </c>
      <c r="H286" s="428">
        <v>667.7</v>
      </c>
      <c r="I286" s="428">
        <v>661.6</v>
      </c>
      <c r="J286" s="428">
        <v>626.9</v>
      </c>
      <c r="K286" s="428">
        <v>588.5</v>
      </c>
      <c r="L286" s="428">
        <v>557.70000000000005</v>
      </c>
      <c r="M286" s="428">
        <v>542.29999999999995</v>
      </c>
      <c r="N286" s="428">
        <v>492.9</v>
      </c>
      <c r="O286" s="428">
        <v>470.3</v>
      </c>
      <c r="P286" s="428">
        <v>426.8</v>
      </c>
      <c r="Q286" s="428">
        <v>399</v>
      </c>
      <c r="R286" s="428">
        <v>394</v>
      </c>
      <c r="S286" s="428">
        <v>380.6</v>
      </c>
      <c r="T286" s="428">
        <v>364.2</v>
      </c>
      <c r="U286" s="428">
        <v>290.89999999999998</v>
      </c>
      <c r="V286" s="428">
        <v>91.2</v>
      </c>
      <c r="W286" s="428">
        <v>45.8</v>
      </c>
      <c r="X286" s="428">
        <v>0</v>
      </c>
      <c r="Y286" s="438">
        <v>0</v>
      </c>
    </row>
    <row r="287" spans="1:25" ht="13.8" thickBot="1" x14ac:dyDescent="0.3">
      <c r="A287" s="435" t="s">
        <v>117</v>
      </c>
      <c r="B287" s="429">
        <f t="shared" ref="B287:V287" si="96">(C286+B286)*(C285-B285)/2</f>
        <v>7.8879999999999999</v>
      </c>
      <c r="C287" s="430">
        <f t="shared" si="96"/>
        <v>15.181500000000003</v>
      </c>
      <c r="D287" s="430">
        <f t="shared" si="96"/>
        <v>18.942000000000004</v>
      </c>
      <c r="E287" s="430">
        <f t="shared" si="96"/>
        <v>71.6815</v>
      </c>
      <c r="F287" s="430">
        <f t="shared" si="96"/>
        <v>92.917999999999992</v>
      </c>
      <c r="G287" s="430">
        <f t="shared" si="96"/>
        <v>120.32100000000004</v>
      </c>
      <c r="H287" s="430">
        <f t="shared" si="96"/>
        <v>192.74849999999998</v>
      </c>
      <c r="I287" s="430">
        <f t="shared" si="96"/>
        <v>231.92999999999998</v>
      </c>
      <c r="J287" s="430">
        <f>(K286+J286)*(K285-J285)/2</f>
        <v>328.15800000000007</v>
      </c>
      <c r="K287" s="430">
        <f t="shared" si="96"/>
        <v>246.43299999999996</v>
      </c>
      <c r="L287" s="430">
        <f t="shared" si="96"/>
        <v>132.00000000000011</v>
      </c>
      <c r="M287" s="430">
        <f t="shared" si="96"/>
        <v>263.97599999999983</v>
      </c>
      <c r="N287" s="430">
        <f t="shared" si="96"/>
        <v>81.871999999999971</v>
      </c>
      <c r="O287" s="430">
        <f t="shared" si="96"/>
        <v>219.78950000000009</v>
      </c>
      <c r="P287" s="430">
        <f t="shared" si="96"/>
        <v>173.41799999999995</v>
      </c>
      <c r="Q287" s="430">
        <f t="shared" si="96"/>
        <v>134.81000000000012</v>
      </c>
      <c r="R287" s="430">
        <f t="shared" si="96"/>
        <v>61.96800000000006</v>
      </c>
      <c r="S287" s="430">
        <f>(T286+S286)*(T285-S285)/2</f>
        <v>44.687999999999704</v>
      </c>
      <c r="T287" s="430">
        <f t="shared" si="96"/>
        <v>16.377500000000232</v>
      </c>
      <c r="U287" s="430">
        <f t="shared" si="96"/>
        <v>28.657499999999896</v>
      </c>
      <c r="V287" s="430">
        <f t="shared" si="96"/>
        <v>2.055000000000017</v>
      </c>
      <c r="W287" s="430">
        <f>(X286+W286)*(X285-W285)/2</f>
        <v>0.2289999999999951</v>
      </c>
      <c r="X287" s="430">
        <f>(Y286+X286)*(Y285-X285)/2</f>
        <v>0</v>
      </c>
      <c r="Y287" s="424"/>
    </row>
    <row r="288" spans="1:25" ht="13.8" thickBot="1" x14ac:dyDescent="0.3">
      <c r="A288" s="17"/>
      <c r="L288" s="17"/>
      <c r="M288" s="17"/>
      <c r="N288" s="17"/>
      <c r="O288" s="17"/>
      <c r="P288" s="17"/>
      <c r="Q288" s="17"/>
      <c r="R288" s="17"/>
      <c r="S288" s="17"/>
      <c r="T288" s="17"/>
      <c r="U288" s="17"/>
      <c r="V288" s="17"/>
      <c r="W288" s="17"/>
      <c r="X288" s="17"/>
      <c r="Y288" s="17"/>
    </row>
    <row r="289" spans="1:25" ht="13.8" thickBot="1" x14ac:dyDescent="0.3">
      <c r="A289" s="416" t="s">
        <v>555</v>
      </c>
      <c r="B289" s="414">
        <f>ROW(A289)</f>
        <v>289</v>
      </c>
      <c r="C289" s="418" t="s">
        <v>116</v>
      </c>
      <c r="D289" s="408">
        <f>SUM(B292:Y292)</f>
        <v>3739.0284999999994</v>
      </c>
      <c r="E289" s="418" t="s">
        <v>115</v>
      </c>
      <c r="F289" s="409">
        <f>D289/g/J289</f>
        <v>203.4941790441234</v>
      </c>
      <c r="G289" s="418" t="s">
        <v>57</v>
      </c>
      <c r="H289" s="86">
        <v>3.5110000000000001</v>
      </c>
      <c r="I289" s="418" t="s">
        <v>272</v>
      </c>
      <c r="J289" s="410">
        <f>H289-L289</f>
        <v>1.8730000000000002</v>
      </c>
      <c r="K289" s="418" t="s">
        <v>273</v>
      </c>
      <c r="L289" s="86">
        <v>1.6379999999999999</v>
      </c>
      <c r="M289" s="418" t="s">
        <v>58</v>
      </c>
      <c r="N289" s="87">
        <v>243</v>
      </c>
      <c r="O289" s="418" t="s">
        <v>60</v>
      </c>
      <c r="P289" s="87">
        <v>243</v>
      </c>
      <c r="Q289" s="418" t="s">
        <v>61</v>
      </c>
      <c r="R289" s="87">
        <v>486</v>
      </c>
      <c r="S289" s="418" t="s">
        <v>62</v>
      </c>
      <c r="T289" s="87">
        <v>75</v>
      </c>
      <c r="U289" s="418" t="s">
        <v>55</v>
      </c>
      <c r="V289" s="88" t="s">
        <v>119</v>
      </c>
      <c r="W289" s="17"/>
      <c r="X289" s="17"/>
      <c r="Y289" s="17"/>
    </row>
    <row r="290" spans="1:25" x14ac:dyDescent="0.25">
      <c r="A290" s="417" t="s">
        <v>33</v>
      </c>
      <c r="B290" s="425">
        <v>0</v>
      </c>
      <c r="C290" s="426">
        <v>0.01</v>
      </c>
      <c r="D290" s="426">
        <v>0.1</v>
      </c>
      <c r="E290" s="426">
        <v>0.12</v>
      </c>
      <c r="F290" s="426">
        <v>0.26</v>
      </c>
      <c r="G290" s="426">
        <v>0.71</v>
      </c>
      <c r="H290" s="426">
        <v>1.28</v>
      </c>
      <c r="I290" s="426">
        <v>2.0499999999999998</v>
      </c>
      <c r="J290" s="426">
        <v>2.41</v>
      </c>
      <c r="K290" s="426">
        <v>2.83</v>
      </c>
      <c r="L290" s="426">
        <v>3.25</v>
      </c>
      <c r="M290" s="426">
        <v>3.65</v>
      </c>
      <c r="N290" s="426">
        <v>3.8</v>
      </c>
      <c r="O290" s="426">
        <v>4</v>
      </c>
      <c r="P290" s="426">
        <v>4.0999999999999996</v>
      </c>
      <c r="Q290" s="426">
        <v>4.1900000000000004</v>
      </c>
      <c r="R290" s="426">
        <v>4.3099999999999996</v>
      </c>
      <c r="S290" s="426">
        <v>4.41</v>
      </c>
      <c r="T290" s="426">
        <v>4.5199999999999996</v>
      </c>
      <c r="U290" s="426">
        <v>4.5999999999999996</v>
      </c>
      <c r="V290" s="426">
        <v>4.6500000000000004</v>
      </c>
      <c r="W290" s="426">
        <v>4.67</v>
      </c>
      <c r="X290" s="426">
        <v>4.68</v>
      </c>
      <c r="Y290" s="437">
        <v>1000</v>
      </c>
    </row>
    <row r="291" spans="1:25" x14ac:dyDescent="0.25">
      <c r="A291" s="434" t="s">
        <v>34</v>
      </c>
      <c r="B291" s="427">
        <v>27</v>
      </c>
      <c r="C291" s="428">
        <v>402.4</v>
      </c>
      <c r="D291" s="428">
        <v>1286</v>
      </c>
      <c r="E291" s="428">
        <v>1257</v>
      </c>
      <c r="F291" s="428">
        <v>1042</v>
      </c>
      <c r="G291" s="428">
        <v>1027</v>
      </c>
      <c r="H291" s="428">
        <v>998.4</v>
      </c>
      <c r="I291" s="428">
        <v>901.4</v>
      </c>
      <c r="J291" s="428">
        <v>849.6</v>
      </c>
      <c r="K291" s="428">
        <v>763.5</v>
      </c>
      <c r="L291" s="428">
        <v>707.1</v>
      </c>
      <c r="M291" s="428">
        <v>655.1</v>
      </c>
      <c r="N291" s="428">
        <v>651.70000000000005</v>
      </c>
      <c r="O291" s="428">
        <v>624.1</v>
      </c>
      <c r="P291" s="428">
        <v>601.29999999999995</v>
      </c>
      <c r="Q291" s="428">
        <v>536.20000000000005</v>
      </c>
      <c r="R291" s="428">
        <v>415.7</v>
      </c>
      <c r="S291" s="428">
        <v>270.2</v>
      </c>
      <c r="T291" s="428">
        <v>140.19999999999999</v>
      </c>
      <c r="U291" s="428">
        <v>76.900000000000006</v>
      </c>
      <c r="V291" s="428">
        <v>54.9</v>
      </c>
      <c r="W291" s="428">
        <v>40.200000000000003</v>
      </c>
      <c r="X291" s="428">
        <v>0</v>
      </c>
      <c r="Y291" s="438">
        <v>0</v>
      </c>
    </row>
    <row r="292" spans="1:25" ht="13.8" thickBot="1" x14ac:dyDescent="0.3">
      <c r="A292" s="435" t="s">
        <v>117</v>
      </c>
      <c r="B292" s="429">
        <f t="shared" ref="B292:V292" si="97">(C291+B291)*(C290-B290)/2</f>
        <v>2.1469999999999998</v>
      </c>
      <c r="C292" s="430">
        <f t="shared" si="97"/>
        <v>75.978000000000009</v>
      </c>
      <c r="D292" s="430">
        <f t="shared" si="97"/>
        <v>25.429999999999989</v>
      </c>
      <c r="E292" s="430">
        <f t="shared" si="97"/>
        <v>160.93</v>
      </c>
      <c r="F292" s="430">
        <f t="shared" si="97"/>
        <v>465.52499999999998</v>
      </c>
      <c r="G292" s="430">
        <f t="shared" si="97"/>
        <v>577.23900000000003</v>
      </c>
      <c r="H292" s="430">
        <f t="shared" si="97"/>
        <v>731.42299999999977</v>
      </c>
      <c r="I292" s="430">
        <f t="shared" si="97"/>
        <v>315.18000000000029</v>
      </c>
      <c r="J292" s="430">
        <f>(K291+J291)*(K290-J290)/2</f>
        <v>338.75099999999992</v>
      </c>
      <c r="K292" s="430">
        <f t="shared" si="97"/>
        <v>308.82599999999991</v>
      </c>
      <c r="L292" s="430">
        <f t="shared" si="97"/>
        <v>272.43999999999994</v>
      </c>
      <c r="M292" s="430">
        <f t="shared" si="97"/>
        <v>98.009999999999962</v>
      </c>
      <c r="N292" s="430">
        <f t="shared" si="97"/>
        <v>127.58000000000013</v>
      </c>
      <c r="O292" s="430">
        <f t="shared" si="97"/>
        <v>61.26999999999979</v>
      </c>
      <c r="P292" s="430">
        <f t="shared" si="97"/>
        <v>51.187500000000426</v>
      </c>
      <c r="Q292" s="430">
        <f t="shared" si="97"/>
        <v>57.113999999999635</v>
      </c>
      <c r="R292" s="430">
        <f t="shared" si="97"/>
        <v>34.295000000000179</v>
      </c>
      <c r="S292" s="430">
        <f>(T291+S291)*(T290-S290)/2</f>
        <v>22.571999999999882</v>
      </c>
      <c r="T292" s="430">
        <f t="shared" si="97"/>
        <v>8.6840000000000082</v>
      </c>
      <c r="U292" s="430">
        <f t="shared" si="97"/>
        <v>3.295000000000047</v>
      </c>
      <c r="V292" s="430">
        <f t="shared" si="97"/>
        <v>0.95099999999997964</v>
      </c>
      <c r="W292" s="430">
        <f>(X291+W291)*(X290-W290)/2</f>
        <v>0.20099999999999574</v>
      </c>
      <c r="X292" s="430">
        <f>(Y291+X291)*(Y290-X290)/2</f>
        <v>0</v>
      </c>
      <c r="Y292" s="424"/>
    </row>
    <row r="293" spans="1:25" ht="13.8" thickBot="1" x14ac:dyDescent="0.3">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row>
    <row r="294" spans="1:25" ht="13.8" thickBot="1" x14ac:dyDescent="0.3">
      <c r="A294" s="416" t="s">
        <v>319</v>
      </c>
      <c r="B294" s="414">
        <f>ROW(A294)</f>
        <v>294</v>
      </c>
      <c r="C294" s="418" t="s">
        <v>116</v>
      </c>
      <c r="D294" s="408">
        <f>SUM(B297:Y297)</f>
        <v>5322.2813159999996</v>
      </c>
      <c r="E294" s="418" t="s">
        <v>115</v>
      </c>
      <c r="F294" s="409">
        <f>D294/g/J294</f>
        <v>210.04116210318938</v>
      </c>
      <c r="G294" s="418" t="s">
        <v>57</v>
      </c>
      <c r="H294" s="86">
        <v>4.9770000000000003</v>
      </c>
      <c r="I294" s="418" t="s">
        <v>272</v>
      </c>
      <c r="J294" s="410">
        <f>H294-L294</f>
        <v>2.5830000000000002</v>
      </c>
      <c r="K294" s="418" t="s">
        <v>273</v>
      </c>
      <c r="L294" s="86">
        <v>2.3940000000000001</v>
      </c>
      <c r="M294" s="418" t="s">
        <v>58</v>
      </c>
      <c r="N294" s="87">
        <v>197</v>
      </c>
      <c r="O294" s="418" t="s">
        <v>60</v>
      </c>
      <c r="P294" s="87">
        <v>197</v>
      </c>
      <c r="Q294" s="418" t="s">
        <v>61</v>
      </c>
      <c r="R294" s="87">
        <v>394</v>
      </c>
      <c r="S294" s="418" t="s">
        <v>62</v>
      </c>
      <c r="T294" s="87">
        <v>98</v>
      </c>
      <c r="U294" s="418" t="s">
        <v>55</v>
      </c>
      <c r="V294" s="88" t="s">
        <v>119</v>
      </c>
      <c r="W294" s="17"/>
      <c r="X294" s="17"/>
      <c r="Y294" s="17"/>
    </row>
    <row r="295" spans="1:25" x14ac:dyDescent="0.25">
      <c r="A295" s="417" t="s">
        <v>33</v>
      </c>
      <c r="B295" s="425">
        <v>0</v>
      </c>
      <c r="C295" s="426">
        <v>3.6999999999999998E-2</v>
      </c>
      <c r="D295" s="426">
        <v>0.121</v>
      </c>
      <c r="E295" s="426">
        <v>0.32800000000000001</v>
      </c>
      <c r="F295" s="426">
        <v>1.2989999999999999</v>
      </c>
      <c r="G295" s="426">
        <v>1.5449999999999999</v>
      </c>
      <c r="H295" s="426">
        <v>1.7969999999999999</v>
      </c>
      <c r="I295" s="426">
        <v>1.998</v>
      </c>
      <c r="J295" s="426">
        <v>2.2080000000000002</v>
      </c>
      <c r="K295" s="426">
        <v>2.4620000000000002</v>
      </c>
      <c r="L295" s="426">
        <v>2.782</v>
      </c>
      <c r="M295" s="426">
        <v>3.0859999999999999</v>
      </c>
      <c r="N295" s="426">
        <v>3.2130000000000001</v>
      </c>
      <c r="O295" s="426">
        <v>3.258</v>
      </c>
      <c r="P295" s="426">
        <v>3.3279999999999998</v>
      </c>
      <c r="Q295" s="426">
        <v>3.383</v>
      </c>
      <c r="R295" s="426">
        <v>3.4279999999999999</v>
      </c>
      <c r="S295" s="426">
        <v>3.5</v>
      </c>
      <c r="T295" s="426">
        <v>3.5</v>
      </c>
      <c r="U295" s="426">
        <v>3.5</v>
      </c>
      <c r="V295" s="426">
        <v>3.5</v>
      </c>
      <c r="W295" s="426">
        <v>3.5</v>
      </c>
      <c r="X295" s="426">
        <v>3.5</v>
      </c>
      <c r="Y295" s="437">
        <v>1000</v>
      </c>
    </row>
    <row r="296" spans="1:25" x14ac:dyDescent="0.25">
      <c r="A296" s="434" t="s">
        <v>34</v>
      </c>
      <c r="B296" s="427">
        <v>0</v>
      </c>
      <c r="C296" s="428">
        <v>1474.12</v>
      </c>
      <c r="D296" s="428">
        <v>1436.5</v>
      </c>
      <c r="E296" s="428">
        <v>1523.49</v>
      </c>
      <c r="F296" s="428">
        <v>1775.06</v>
      </c>
      <c r="G296" s="428">
        <v>1807.97</v>
      </c>
      <c r="H296" s="428">
        <v>1807.97</v>
      </c>
      <c r="I296" s="428">
        <v>1786.81</v>
      </c>
      <c r="J296" s="428">
        <v>1737.44</v>
      </c>
      <c r="K296" s="428">
        <v>1572.86</v>
      </c>
      <c r="L296" s="428">
        <v>1415.34</v>
      </c>
      <c r="M296" s="428">
        <v>1309.55</v>
      </c>
      <c r="N296" s="428">
        <v>1290.74</v>
      </c>
      <c r="O296" s="428">
        <v>1309.55</v>
      </c>
      <c r="P296" s="428">
        <v>679.45899999999995</v>
      </c>
      <c r="Q296" s="428">
        <v>173.97900000000001</v>
      </c>
      <c r="R296" s="428">
        <v>68.180999999999997</v>
      </c>
      <c r="S296" s="428">
        <v>0</v>
      </c>
      <c r="T296" s="428">
        <v>0</v>
      </c>
      <c r="U296" s="428">
        <v>0</v>
      </c>
      <c r="V296" s="428">
        <v>0</v>
      </c>
      <c r="W296" s="428">
        <v>0</v>
      </c>
      <c r="X296" s="428">
        <v>0</v>
      </c>
      <c r="Y296" s="438">
        <v>0</v>
      </c>
    </row>
    <row r="297" spans="1:25" ht="13.8" thickBot="1" x14ac:dyDescent="0.3">
      <c r="A297" s="435" t="s">
        <v>117</v>
      </c>
      <c r="B297" s="429">
        <f t="shared" ref="B297:X297" si="98">(C296+B296)*(C295-B295)/2</f>
        <v>27.271219999999996</v>
      </c>
      <c r="C297" s="430">
        <f t="shared" si="98"/>
        <v>122.24603999999998</v>
      </c>
      <c r="D297" s="430">
        <f t="shared" si="98"/>
        <v>306.35896500000001</v>
      </c>
      <c r="E297" s="430">
        <f t="shared" si="98"/>
        <v>1601.446025</v>
      </c>
      <c r="F297" s="430">
        <f t="shared" si="98"/>
        <v>440.71268999999995</v>
      </c>
      <c r="G297" s="430">
        <f t="shared" si="98"/>
        <v>455.60844000000003</v>
      </c>
      <c r="H297" s="430">
        <f t="shared" si="98"/>
        <v>361.27539000000007</v>
      </c>
      <c r="I297" s="430">
        <f t="shared" si="98"/>
        <v>370.04625000000033</v>
      </c>
      <c r="J297" s="430">
        <f t="shared" si="98"/>
        <v>420.40810000000005</v>
      </c>
      <c r="K297" s="430">
        <f t="shared" si="98"/>
        <v>478.11199999999974</v>
      </c>
      <c r="L297" s="430">
        <f t="shared" si="98"/>
        <v>414.18327999999974</v>
      </c>
      <c r="M297" s="430">
        <f t="shared" si="98"/>
        <v>165.11841500000028</v>
      </c>
      <c r="N297" s="430">
        <f t="shared" si="98"/>
        <v>58.506524999999904</v>
      </c>
      <c r="O297" s="430">
        <f t="shared" si="98"/>
        <v>69.615314999999839</v>
      </c>
      <c r="P297" s="430">
        <f t="shared" si="98"/>
        <v>23.469545000000068</v>
      </c>
      <c r="Q297" s="430">
        <f t="shared" si="98"/>
        <v>5.4485999999999919</v>
      </c>
      <c r="R297" s="430">
        <f t="shared" si="98"/>
        <v>2.4545160000000021</v>
      </c>
      <c r="S297" s="430">
        <f t="shared" si="98"/>
        <v>0</v>
      </c>
      <c r="T297" s="430">
        <f t="shared" si="98"/>
        <v>0</v>
      </c>
      <c r="U297" s="430">
        <f t="shared" si="98"/>
        <v>0</v>
      </c>
      <c r="V297" s="430">
        <f t="shared" si="98"/>
        <v>0</v>
      </c>
      <c r="W297" s="430">
        <f t="shared" si="98"/>
        <v>0</v>
      </c>
      <c r="X297" s="430">
        <f t="shared" si="98"/>
        <v>0</v>
      </c>
      <c r="Y297" s="424"/>
    </row>
    <row r="298" spans="1:25" ht="13.8" thickBot="1" x14ac:dyDescent="0.3">
      <c r="A298" s="17"/>
      <c r="L298" s="17"/>
      <c r="M298" s="17"/>
      <c r="N298" s="17"/>
      <c r="O298" s="17"/>
      <c r="P298" s="17"/>
      <c r="Q298" s="17"/>
      <c r="R298" s="17"/>
      <c r="S298" s="17"/>
      <c r="T298" s="17"/>
      <c r="U298" s="17"/>
      <c r="V298" s="17"/>
      <c r="W298" s="17"/>
      <c r="X298" s="17"/>
      <c r="Y298" s="17"/>
    </row>
    <row r="299" spans="1:25" ht="13.8" thickBot="1" x14ac:dyDescent="0.3">
      <c r="A299" s="416" t="s">
        <v>320</v>
      </c>
      <c r="B299" s="414">
        <f>ROW(A299)</f>
        <v>299</v>
      </c>
      <c r="C299" s="418" t="s">
        <v>116</v>
      </c>
      <c r="D299" s="408">
        <f>SUM(B302:Y302)</f>
        <v>7412.4371409999985</v>
      </c>
      <c r="E299" s="418" t="s">
        <v>115</v>
      </c>
      <c r="F299" s="409">
        <f>D299/g/J299</f>
        <v>223.28608637999045</v>
      </c>
      <c r="G299" s="418" t="s">
        <v>57</v>
      </c>
      <c r="H299" s="86">
        <v>6.25</v>
      </c>
      <c r="I299" s="418" t="s">
        <v>272</v>
      </c>
      <c r="J299" s="410">
        <f>H299-L299</f>
        <v>3.3839999999999999</v>
      </c>
      <c r="K299" s="418" t="s">
        <v>273</v>
      </c>
      <c r="L299" s="86">
        <v>2.8660000000000001</v>
      </c>
      <c r="M299" s="418" t="s">
        <v>58</v>
      </c>
      <c r="N299" s="87">
        <v>290</v>
      </c>
      <c r="O299" s="418" t="s">
        <v>60</v>
      </c>
      <c r="P299" s="87">
        <v>290</v>
      </c>
      <c r="Q299" s="418" t="s">
        <v>61</v>
      </c>
      <c r="R299" s="87">
        <v>579</v>
      </c>
      <c r="S299" s="418" t="s">
        <v>62</v>
      </c>
      <c r="T299" s="87">
        <v>98</v>
      </c>
      <c r="U299" s="418" t="s">
        <v>55</v>
      </c>
      <c r="V299" s="88" t="s">
        <v>119</v>
      </c>
      <c r="W299" s="17"/>
      <c r="X299" s="17"/>
      <c r="Y299" s="17"/>
    </row>
    <row r="300" spans="1:25" x14ac:dyDescent="0.25">
      <c r="A300" s="417" t="s">
        <v>33</v>
      </c>
      <c r="B300" s="425">
        <v>0</v>
      </c>
      <c r="C300" s="426">
        <v>1.7000000000000001E-2</v>
      </c>
      <c r="D300" s="426">
        <v>5.1999999999999998E-2</v>
      </c>
      <c r="E300" s="426">
        <v>8.7999999999999995E-2</v>
      </c>
      <c r="F300" s="426">
        <v>0.108</v>
      </c>
      <c r="G300" s="426">
        <v>0.127</v>
      </c>
      <c r="H300" s="426">
        <v>0.17399999999999999</v>
      </c>
      <c r="I300" s="426">
        <v>0.25700000000000001</v>
      </c>
      <c r="J300" s="426">
        <v>0.40300000000000002</v>
      </c>
      <c r="K300" s="426">
        <v>0.76200000000000001</v>
      </c>
      <c r="L300" s="426">
        <v>0.97699999999999998</v>
      </c>
      <c r="M300" s="426">
        <v>1.341</v>
      </c>
      <c r="N300" s="426">
        <v>1.5009999999999999</v>
      </c>
      <c r="O300" s="426">
        <v>1.661</v>
      </c>
      <c r="P300" s="426">
        <v>1.96</v>
      </c>
      <c r="Q300" s="426">
        <v>2.4039999999999999</v>
      </c>
      <c r="R300" s="426">
        <v>2.641</v>
      </c>
      <c r="S300" s="426">
        <v>2.7160000000000002</v>
      </c>
      <c r="T300" s="426">
        <v>2.8210000000000002</v>
      </c>
      <c r="U300" s="426">
        <v>2.8919999999999999</v>
      </c>
      <c r="V300" s="426">
        <v>2.92</v>
      </c>
      <c r="W300" s="426">
        <v>2.97</v>
      </c>
      <c r="X300" s="426">
        <v>3</v>
      </c>
      <c r="Y300" s="437">
        <v>1000</v>
      </c>
    </row>
    <row r="301" spans="1:25" x14ac:dyDescent="0.25">
      <c r="A301" s="434" t="s">
        <v>34</v>
      </c>
      <c r="B301" s="427">
        <v>0</v>
      </c>
      <c r="C301" s="428">
        <v>329.84699999999998</v>
      </c>
      <c r="D301" s="428">
        <v>1003.68</v>
      </c>
      <c r="E301" s="428">
        <v>2346.62</v>
      </c>
      <c r="F301" s="428">
        <v>2549.2399999999998</v>
      </c>
      <c r="G301" s="428">
        <v>2605.79</v>
      </c>
      <c r="H301" s="428">
        <v>2520.9699999999998</v>
      </c>
      <c r="I301" s="428">
        <v>2516.2600000000002</v>
      </c>
      <c r="J301" s="428">
        <v>2596.37</v>
      </c>
      <c r="K301" s="428">
        <v>2808.41</v>
      </c>
      <c r="L301" s="428">
        <v>2954.49</v>
      </c>
      <c r="M301" s="428">
        <v>2959.2</v>
      </c>
      <c r="N301" s="428">
        <v>2907.36</v>
      </c>
      <c r="O301" s="428">
        <v>2869.67</v>
      </c>
      <c r="P301" s="428">
        <v>2695.32</v>
      </c>
      <c r="Q301" s="428">
        <v>2351.34</v>
      </c>
      <c r="R301" s="428">
        <v>2228.8200000000002</v>
      </c>
      <c r="S301" s="428">
        <v>2007.35</v>
      </c>
      <c r="T301" s="428">
        <v>1427.77</v>
      </c>
      <c r="U301" s="428">
        <v>504.19400000000002</v>
      </c>
      <c r="V301" s="428">
        <v>334.55900000000003</v>
      </c>
      <c r="W301" s="428">
        <v>122.515</v>
      </c>
      <c r="X301" s="428">
        <v>0</v>
      </c>
      <c r="Y301" s="438">
        <v>0</v>
      </c>
    </row>
    <row r="302" spans="1:25" ht="13.8" thickBot="1" x14ac:dyDescent="0.3">
      <c r="A302" s="435" t="s">
        <v>117</v>
      </c>
      <c r="B302" s="429">
        <f t="shared" ref="B302:X302" si="99">(C301+B301)*(C300-B300)/2</f>
        <v>2.8036995</v>
      </c>
      <c r="C302" s="430">
        <f t="shared" si="99"/>
        <v>23.336722499999997</v>
      </c>
      <c r="D302" s="430">
        <f t="shared" si="99"/>
        <v>60.305399999999992</v>
      </c>
      <c r="E302" s="430">
        <f t="shared" si="99"/>
        <v>48.958600000000004</v>
      </c>
      <c r="F302" s="430">
        <f t="shared" si="99"/>
        <v>48.972785000000002</v>
      </c>
      <c r="G302" s="430">
        <f t="shared" si="99"/>
        <v>120.47885999999997</v>
      </c>
      <c r="H302" s="430">
        <f t="shared" si="99"/>
        <v>209.04504500000002</v>
      </c>
      <c r="I302" s="430">
        <f t="shared" si="99"/>
        <v>373.22199000000006</v>
      </c>
      <c r="J302" s="430">
        <f t="shared" si="99"/>
        <v>970.15800999999988</v>
      </c>
      <c r="K302" s="430">
        <f t="shared" si="99"/>
        <v>619.51174999999989</v>
      </c>
      <c r="L302" s="430">
        <f t="shared" si="99"/>
        <v>1076.2915799999998</v>
      </c>
      <c r="M302" s="430">
        <f t="shared" si="99"/>
        <v>469.3247999999997</v>
      </c>
      <c r="N302" s="430">
        <f t="shared" si="99"/>
        <v>462.16240000000045</v>
      </c>
      <c r="O302" s="430">
        <f t="shared" si="99"/>
        <v>831.96600499999977</v>
      </c>
      <c r="P302" s="430">
        <f t="shared" si="99"/>
        <v>1120.3585199999998</v>
      </c>
      <c r="Q302" s="430">
        <f t="shared" si="99"/>
        <v>542.74896000000024</v>
      </c>
      <c r="R302" s="430">
        <f t="shared" si="99"/>
        <v>158.85637500000038</v>
      </c>
      <c r="S302" s="430">
        <f t="shared" si="99"/>
        <v>180.34379999999996</v>
      </c>
      <c r="T302" s="430">
        <f t="shared" si="99"/>
        <v>68.584721999999744</v>
      </c>
      <c r="U302" s="430">
        <f t="shared" si="99"/>
        <v>11.742542000000011</v>
      </c>
      <c r="V302" s="430">
        <f t="shared" si="99"/>
        <v>11.42685000000006</v>
      </c>
      <c r="W302" s="430">
        <f t="shared" si="99"/>
        <v>1.8377249999999881</v>
      </c>
      <c r="X302" s="430">
        <f t="shared" si="99"/>
        <v>0</v>
      </c>
      <c r="Y302" s="424"/>
    </row>
    <row r="303" spans="1:25" ht="13.8" thickBot="1" x14ac:dyDescent="0.3">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row>
    <row r="304" spans="1:25" ht="13.8" thickBot="1" x14ac:dyDescent="0.3">
      <c r="A304" s="416" t="s">
        <v>556</v>
      </c>
      <c r="B304" s="414">
        <f>ROW(A304)</f>
        <v>304</v>
      </c>
      <c r="C304" s="418" t="s">
        <v>116</v>
      </c>
      <c r="D304" s="408">
        <f>SUM(B307:Y307)</f>
        <v>17734.977350500001</v>
      </c>
      <c r="E304" s="418" t="s">
        <v>115</v>
      </c>
      <c r="F304" s="409">
        <f>D304/g/J304</f>
        <v>192.73420306179892</v>
      </c>
      <c r="G304" s="418" t="s">
        <v>57</v>
      </c>
      <c r="H304" s="86">
        <v>14.747999999999999</v>
      </c>
      <c r="I304" s="418" t="s">
        <v>272</v>
      </c>
      <c r="J304" s="410">
        <f>H304-L304</f>
        <v>9.379999999999999</v>
      </c>
      <c r="K304" s="418" t="s">
        <v>273</v>
      </c>
      <c r="L304" s="86">
        <v>5.3680000000000003</v>
      </c>
      <c r="M304" s="418" t="s">
        <v>58</v>
      </c>
      <c r="N304" s="87">
        <v>500</v>
      </c>
      <c r="O304" s="418" t="s">
        <v>60</v>
      </c>
      <c r="P304" s="87">
        <v>500</v>
      </c>
      <c r="Q304" s="418" t="s">
        <v>61</v>
      </c>
      <c r="R304" s="87">
        <v>1046</v>
      </c>
      <c r="S304" s="418" t="s">
        <v>62</v>
      </c>
      <c r="T304" s="87">
        <v>98</v>
      </c>
      <c r="U304" s="418" t="s">
        <v>55</v>
      </c>
      <c r="V304" s="88" t="s">
        <v>119</v>
      </c>
      <c r="W304" s="17"/>
      <c r="X304" s="17"/>
      <c r="Y304" s="17"/>
    </row>
    <row r="305" spans="1:25" x14ac:dyDescent="0.25">
      <c r="A305" s="417" t="s">
        <v>33</v>
      </c>
      <c r="B305" s="425">
        <v>0</v>
      </c>
      <c r="C305" s="426">
        <v>3.0000000000000001E-3</v>
      </c>
      <c r="D305" s="426">
        <v>0.05</v>
      </c>
      <c r="E305" s="426">
        <v>7.8E-2</v>
      </c>
      <c r="F305" s="426">
        <v>0.121</v>
      </c>
      <c r="G305" s="426">
        <v>0.65200000000000002</v>
      </c>
      <c r="H305" s="426">
        <v>1.123</v>
      </c>
      <c r="I305" s="426">
        <v>1.655</v>
      </c>
      <c r="J305" s="426">
        <v>2.3530000000000002</v>
      </c>
      <c r="K305" s="426">
        <v>3.0350000000000001</v>
      </c>
      <c r="L305" s="426">
        <v>3.7</v>
      </c>
      <c r="M305" s="426">
        <v>3.7330000000000001</v>
      </c>
      <c r="N305" s="426">
        <v>3.887</v>
      </c>
      <c r="O305" s="426">
        <v>4.0359999999999996</v>
      </c>
      <c r="P305" s="426">
        <v>4.1970000000000001</v>
      </c>
      <c r="Q305" s="426">
        <v>4.2619999999999996</v>
      </c>
      <c r="R305" s="426">
        <v>4.3</v>
      </c>
      <c r="S305" s="426">
        <v>5</v>
      </c>
      <c r="T305" s="426">
        <v>5</v>
      </c>
      <c r="U305" s="426">
        <v>5</v>
      </c>
      <c r="V305" s="426">
        <v>5</v>
      </c>
      <c r="W305" s="426">
        <v>5</v>
      </c>
      <c r="X305" s="426">
        <v>5</v>
      </c>
      <c r="Y305" s="437">
        <v>1000</v>
      </c>
    </row>
    <row r="306" spans="1:25" x14ac:dyDescent="0.25">
      <c r="A306" s="434" t="s">
        <v>34</v>
      </c>
      <c r="B306" s="427">
        <v>0</v>
      </c>
      <c r="C306" s="428">
        <v>203.87700000000001</v>
      </c>
      <c r="D306" s="428">
        <v>2362.8789999999999</v>
      </c>
      <c r="E306" s="428">
        <v>3946.8449999999998</v>
      </c>
      <c r="F306" s="428">
        <v>4281.4120000000003</v>
      </c>
      <c r="G306" s="428">
        <v>4370.2809999999999</v>
      </c>
      <c r="H306" s="428">
        <v>4453.9229999999998</v>
      </c>
      <c r="I306" s="428">
        <v>4772.8069999999998</v>
      </c>
      <c r="J306" s="428">
        <v>4621.2060000000001</v>
      </c>
      <c r="K306" s="428">
        <v>4511.4269999999997</v>
      </c>
      <c r="L306" s="428">
        <v>4375.509</v>
      </c>
      <c r="M306" s="428">
        <v>4182.0870000000004</v>
      </c>
      <c r="N306" s="428">
        <v>2969.2820000000002</v>
      </c>
      <c r="O306" s="428">
        <v>1589.193</v>
      </c>
      <c r="P306" s="428">
        <v>533.21600000000001</v>
      </c>
      <c r="Q306" s="428">
        <v>240.47</v>
      </c>
      <c r="R306" s="428">
        <v>0</v>
      </c>
      <c r="S306" s="428">
        <v>0</v>
      </c>
      <c r="T306" s="428">
        <v>0</v>
      </c>
      <c r="U306" s="428">
        <v>0</v>
      </c>
      <c r="V306" s="428">
        <v>0</v>
      </c>
      <c r="W306" s="428">
        <v>0</v>
      </c>
      <c r="X306" s="428">
        <v>0</v>
      </c>
      <c r="Y306" s="438">
        <v>0</v>
      </c>
    </row>
    <row r="307" spans="1:25" ht="13.8" thickBot="1" x14ac:dyDescent="0.3">
      <c r="A307" s="435" t="s">
        <v>117</v>
      </c>
      <c r="B307" s="429">
        <f t="shared" ref="B307" si="100">(C306+B306)*(C305-B305)/2</f>
        <v>0.30581550000000002</v>
      </c>
      <c r="C307" s="430">
        <f t="shared" ref="C307" si="101">(D306+C306)*(D305-C305)/2</f>
        <v>60.318765999999997</v>
      </c>
      <c r="D307" s="430">
        <f t="shared" ref="D307" si="102">(E306+D306)*(E305-D305)/2</f>
        <v>88.336135999999996</v>
      </c>
      <c r="E307" s="430">
        <f t="shared" ref="E307" si="103">(F306+E306)*(F305-E305)/2</f>
        <v>176.90752549999999</v>
      </c>
      <c r="F307" s="430">
        <f t="shared" ref="F307" si="104">(G306+F306)*(G305-F305)/2</f>
        <v>2297.0244914999998</v>
      </c>
      <c r="G307" s="430">
        <f t="shared" ref="G307" si="105">(H306+G306)*(H305-G305)/2</f>
        <v>2078.100042</v>
      </c>
      <c r="H307" s="430">
        <f t="shared" ref="H307" si="106">(I306+H306)*(I305-H305)/2</f>
        <v>2454.3101799999999</v>
      </c>
      <c r="I307" s="430">
        <f t="shared" ref="I307" si="107">(J306+I306)*(J305-I305)/2</f>
        <v>3278.5105370000006</v>
      </c>
      <c r="J307" s="430">
        <f t="shared" ref="J307" si="108">(K306+J306)*(K305-J305)/2</f>
        <v>3114.2278529999999</v>
      </c>
      <c r="K307" s="430">
        <f t="shared" ref="K307" si="109">(L306+K306)*(L305-K305)/2</f>
        <v>2954.9062199999998</v>
      </c>
      <c r="L307" s="430">
        <f t="shared" ref="L307" si="110">(M306+L306)*(M305-L305)/2</f>
        <v>141.20033399999969</v>
      </c>
      <c r="M307" s="430">
        <f t="shared" ref="M307" si="111">(N306+M306)*(N305-M305)/2</f>
        <v>550.65541299999973</v>
      </c>
      <c r="N307" s="430">
        <f t="shared" ref="N307" si="112">(O306+N306)*(O305-N305)/2</f>
        <v>339.60638749999907</v>
      </c>
      <c r="O307" s="430">
        <f t="shared" ref="O307" si="113">(P306+O306)*(P305-O305)/2</f>
        <v>170.85392450000052</v>
      </c>
      <c r="P307" s="430">
        <f t="shared" ref="P307" si="114">(Q306+P306)*(Q305-P305)/2</f>
        <v>25.14479499999981</v>
      </c>
      <c r="Q307" s="430">
        <f t="shared" ref="Q307" si="115">(R306+Q306)*(R305-Q305)/2</f>
        <v>4.568930000000031</v>
      </c>
      <c r="R307" s="430">
        <f t="shared" ref="R307" si="116">(S306+R306)*(S305-R305)/2</f>
        <v>0</v>
      </c>
      <c r="S307" s="430">
        <f t="shared" ref="S307" si="117">(T306+S306)*(T305-S305)/2</f>
        <v>0</v>
      </c>
      <c r="T307" s="430">
        <f t="shared" ref="T307" si="118">(U306+T306)*(U305-T305)/2</f>
        <v>0</v>
      </c>
      <c r="U307" s="430">
        <f t="shared" ref="U307" si="119">(V306+U306)*(V305-U305)/2</f>
        <v>0</v>
      </c>
      <c r="V307" s="430">
        <f t="shared" ref="V307" si="120">(W306+V306)*(W305-V305)/2</f>
        <v>0</v>
      </c>
      <c r="W307" s="430">
        <f t="shared" ref="W307" si="121">(X306+W306)*(X305-W305)/2</f>
        <v>0</v>
      </c>
      <c r="X307" s="430">
        <f t="shared" ref="X307" si="122">(Y306+X306)*(Y305-X305)/2</f>
        <v>0</v>
      </c>
      <c r="Y307" s="424"/>
    </row>
    <row r="308" spans="1:25" ht="13.8" thickBot="1" x14ac:dyDescent="0.3">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row>
    <row r="309" spans="1:25" ht="13.8" thickBot="1" x14ac:dyDescent="0.3">
      <c r="A309" s="416" t="s">
        <v>45</v>
      </c>
      <c r="B309" s="414">
        <f>ROW(A309)</f>
        <v>309</v>
      </c>
      <c r="C309" s="418" t="s">
        <v>116</v>
      </c>
      <c r="D309" s="408">
        <f>SUM(B312:Y312)</f>
        <v>1E-3</v>
      </c>
      <c r="E309" s="418" t="s">
        <v>115</v>
      </c>
      <c r="F309" s="409">
        <f>D309/g/J309</f>
        <v>1.019367991845056</v>
      </c>
      <c r="G309" s="418" t="s">
        <v>57</v>
      </c>
      <c r="H309" s="86">
        <v>1E-4</v>
      </c>
      <c r="I309" s="418" t="s">
        <v>272</v>
      </c>
      <c r="J309" s="410">
        <f>H309-L309</f>
        <v>1E-4</v>
      </c>
      <c r="K309" s="418" t="s">
        <v>273</v>
      </c>
      <c r="L309" s="86">
        <v>0</v>
      </c>
      <c r="M309" s="418" t="s">
        <v>58</v>
      </c>
      <c r="N309" s="87">
        <v>0</v>
      </c>
      <c r="O309" s="418" t="s">
        <v>60</v>
      </c>
      <c r="P309" s="87">
        <v>0</v>
      </c>
      <c r="Q309" s="418" t="s">
        <v>61</v>
      </c>
      <c r="R309" s="87">
        <v>0</v>
      </c>
      <c r="S309" s="418" t="s">
        <v>62</v>
      </c>
      <c r="T309" s="87">
        <v>0</v>
      </c>
      <c r="U309" s="418" t="s">
        <v>55</v>
      </c>
      <c r="V309" s="88" t="s">
        <v>119</v>
      </c>
      <c r="W309" s="17"/>
      <c r="X309" s="17"/>
      <c r="Y309" s="17"/>
    </row>
    <row r="310" spans="1:25" x14ac:dyDescent="0.25">
      <c r="A310" s="417" t="s">
        <v>33</v>
      </c>
      <c r="B310" s="425">
        <v>0</v>
      </c>
      <c r="C310" s="426">
        <v>0.1</v>
      </c>
      <c r="D310" s="426">
        <v>0.2</v>
      </c>
      <c r="E310" s="426">
        <v>1</v>
      </c>
      <c r="F310" s="426">
        <v>1</v>
      </c>
      <c r="G310" s="426">
        <v>1</v>
      </c>
      <c r="H310" s="426">
        <v>1</v>
      </c>
      <c r="I310" s="426">
        <v>1</v>
      </c>
      <c r="J310" s="426">
        <v>1</v>
      </c>
      <c r="K310" s="426">
        <v>1</v>
      </c>
      <c r="L310" s="426">
        <v>1</v>
      </c>
      <c r="M310" s="426">
        <v>1</v>
      </c>
      <c r="N310" s="426">
        <v>1</v>
      </c>
      <c r="O310" s="426">
        <v>1</v>
      </c>
      <c r="P310" s="426">
        <v>1</v>
      </c>
      <c r="Q310" s="426">
        <v>1</v>
      </c>
      <c r="R310" s="426">
        <v>1</v>
      </c>
      <c r="S310" s="426">
        <v>1</v>
      </c>
      <c r="T310" s="426">
        <v>1</v>
      </c>
      <c r="U310" s="426">
        <v>1</v>
      </c>
      <c r="V310" s="426">
        <v>1</v>
      </c>
      <c r="W310" s="426">
        <v>1</v>
      </c>
      <c r="X310" s="426">
        <v>1</v>
      </c>
      <c r="Y310" s="437">
        <v>1000</v>
      </c>
    </row>
    <row r="311" spans="1:25" x14ac:dyDescent="0.25">
      <c r="A311" s="434" t="s">
        <v>34</v>
      </c>
      <c r="B311" s="427">
        <v>0</v>
      </c>
      <c r="C311" s="428">
        <v>0.01</v>
      </c>
      <c r="D311" s="428">
        <v>0</v>
      </c>
      <c r="E311" s="428">
        <v>0</v>
      </c>
      <c r="F311" s="428">
        <v>0</v>
      </c>
      <c r="G311" s="428">
        <v>0</v>
      </c>
      <c r="H311" s="428">
        <v>0</v>
      </c>
      <c r="I311" s="428">
        <v>0</v>
      </c>
      <c r="J311" s="428">
        <v>0</v>
      </c>
      <c r="K311" s="428">
        <v>0</v>
      </c>
      <c r="L311" s="428">
        <v>0</v>
      </c>
      <c r="M311" s="428">
        <v>0</v>
      </c>
      <c r="N311" s="428">
        <v>0</v>
      </c>
      <c r="O311" s="428">
        <v>0</v>
      </c>
      <c r="P311" s="428">
        <v>0</v>
      </c>
      <c r="Q311" s="428">
        <v>0</v>
      </c>
      <c r="R311" s="428">
        <v>0</v>
      </c>
      <c r="S311" s="428">
        <v>0</v>
      </c>
      <c r="T311" s="428">
        <v>0</v>
      </c>
      <c r="U311" s="428">
        <v>0</v>
      </c>
      <c r="V311" s="428">
        <v>0</v>
      </c>
      <c r="W311" s="428">
        <v>0</v>
      </c>
      <c r="X311" s="428">
        <v>0</v>
      </c>
      <c r="Y311" s="438">
        <v>0</v>
      </c>
    </row>
    <row r="312" spans="1:25" ht="13.8" thickBot="1" x14ac:dyDescent="0.3">
      <c r="A312" s="435" t="s">
        <v>117</v>
      </c>
      <c r="B312" s="429">
        <f t="shared" ref="B312:G312" si="123">(C311+B311)*(C310-B310)/2</f>
        <v>5.0000000000000001E-4</v>
      </c>
      <c r="C312" s="430">
        <f t="shared" si="123"/>
        <v>5.0000000000000001E-4</v>
      </c>
      <c r="D312" s="430">
        <f t="shared" si="123"/>
        <v>0</v>
      </c>
      <c r="E312" s="430">
        <f t="shared" si="123"/>
        <v>0</v>
      </c>
      <c r="F312" s="430">
        <f t="shared" si="123"/>
        <v>0</v>
      </c>
      <c r="G312" s="430">
        <f t="shared" si="123"/>
        <v>0</v>
      </c>
      <c r="H312" s="430">
        <f t="shared" ref="H312:V312" si="124">(I311+H311)*(I310-H310)/2</f>
        <v>0</v>
      </c>
      <c r="I312" s="430">
        <f t="shared" si="124"/>
        <v>0</v>
      </c>
      <c r="J312" s="430">
        <f>(K311+J311)*(K310-J310)/2</f>
        <v>0</v>
      </c>
      <c r="K312" s="430">
        <f t="shared" si="124"/>
        <v>0</v>
      </c>
      <c r="L312" s="430">
        <f t="shared" si="124"/>
        <v>0</v>
      </c>
      <c r="M312" s="430">
        <f t="shared" si="124"/>
        <v>0</v>
      </c>
      <c r="N312" s="430">
        <f t="shared" si="124"/>
        <v>0</v>
      </c>
      <c r="O312" s="430">
        <f t="shared" si="124"/>
        <v>0</v>
      </c>
      <c r="P312" s="430">
        <f t="shared" si="124"/>
        <v>0</v>
      </c>
      <c r="Q312" s="430">
        <f t="shared" si="124"/>
        <v>0</v>
      </c>
      <c r="R312" s="430">
        <f t="shared" si="124"/>
        <v>0</v>
      </c>
      <c r="S312" s="430">
        <f>(T311+S311)*(T310-S310)/2</f>
        <v>0</v>
      </c>
      <c r="T312" s="430">
        <f t="shared" si="124"/>
        <v>0</v>
      </c>
      <c r="U312" s="430">
        <f t="shared" si="124"/>
        <v>0</v>
      </c>
      <c r="V312" s="430">
        <f t="shared" si="124"/>
        <v>0</v>
      </c>
      <c r="W312" s="430">
        <f>(X311+W311)*(X310-W310)/2</f>
        <v>0</v>
      </c>
      <c r="X312" s="430">
        <f>(Y311+X311)*(Y310-X310)/2</f>
        <v>0</v>
      </c>
      <c r="Y312" s="424"/>
    </row>
    <row r="314" spans="1:25" x14ac:dyDescent="0.25">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row>
    <row r="316" spans="1:25" x14ac:dyDescent="0.25">
      <c r="A316" s="458" t="str">
        <f>IF(Lang="Français","Liste des propu affichés :","Motor list (shown):")</f>
        <v>Liste des propu affichés :</v>
      </c>
      <c r="C316" s="756" t="s">
        <v>277</v>
      </c>
      <c r="D316" s="757"/>
      <c r="F316" s="756" t="s">
        <v>182</v>
      </c>
      <c r="G316" s="757"/>
      <c r="H316" s="555"/>
      <c r="I316" s="758" t="s">
        <v>399</v>
      </c>
      <c r="J316" s="757"/>
      <c r="K316" s="555"/>
      <c r="L316" s="756" t="s">
        <v>183</v>
      </c>
      <c r="M316" s="757"/>
      <c r="O316" s="758" t="s">
        <v>398</v>
      </c>
      <c r="P316" s="757"/>
      <c r="R316" s="756" t="s">
        <v>119</v>
      </c>
      <c r="S316" s="757"/>
    </row>
    <row r="317" spans="1:25" x14ac:dyDescent="0.25">
      <c r="A317" s="459" t="str">
        <f t="array" ref="A317:A346">IF(RIGHT(Type_fusee,1)=".",Liste_fusex, IF(LEFT(Type_fusee,4)="Mini",Liste_minif, IF(LEFT(Type_fusee,5)="Micro",Liste_µfu, IF(RIGHT(Type_fusee,1)=" ",Liste_H2O, IF(LEFT(Type_fusee,1)="R",Liste_RC, IF(LEFT(Type_fusee,1)=",",Liste_minifT))))))</f>
        <v>Barasinga (Pro54-5G C)</v>
      </c>
      <c r="C317" s="747" t="str">
        <f>A26</f>
        <v>H2O 1.5L 300g 6bar</v>
      </c>
      <c r="D317" s="748"/>
      <c r="F317" s="747" t="str">
        <f>A67</f>
        <v>µ-propu A8-3</v>
      </c>
      <c r="G317" s="748"/>
      <c r="H317" s="558"/>
      <c r="I317" s="745" t="str">
        <f>A148</f>
        <v>p29-1G 56F31</v>
      </c>
      <c r="J317" s="746"/>
      <c r="K317" s="558"/>
      <c r="L317" s="745" t="str">
        <f>A148</f>
        <v>p29-1G 56F31</v>
      </c>
      <c r="M317" s="746"/>
      <c r="O317" s="747" t="str">
        <f>A108</f>
        <v>p24-1G 24E22</v>
      </c>
      <c r="P317" s="748"/>
      <c r="R317" s="747" t="str">
        <f>A279</f>
        <v>Barasinga (Pro54-5G C)</v>
      </c>
      <c r="S317" s="748"/>
    </row>
    <row r="318" spans="1:25" x14ac:dyDescent="0.25">
      <c r="A318" s="459" t="str">
        <v>Orignal (Pro75-3G C)</v>
      </c>
      <c r="C318" s="747" t="str">
        <f>A31</f>
        <v>H2O 1.5L 450g 6bar</v>
      </c>
      <c r="D318" s="748"/>
      <c r="F318" s="747" t="str">
        <f>A72</f>
        <v>µ-propu B4-4</v>
      </c>
      <c r="G318" s="748"/>
      <c r="H318" s="558"/>
      <c r="I318" s="745" t="str">
        <f>A153</f>
        <v>p29-1G 56F120</v>
      </c>
      <c r="J318" s="746"/>
      <c r="K318" s="558"/>
      <c r="L318" s="745" t="str">
        <f>A153</f>
        <v>p29-1G 56F120</v>
      </c>
      <c r="M318" s="746"/>
      <c r="O318" s="747" t="str">
        <f>A113</f>
        <v>p24-1G 25E75 (Rufina)</v>
      </c>
      <c r="P318" s="748"/>
      <c r="R318" s="747" t="str">
        <f>A289</f>
        <v>Orignal (Pro75-3G C)</v>
      </c>
      <c r="S318" s="748"/>
    </row>
    <row r="319" spans="1:25" x14ac:dyDescent="0.25">
      <c r="A319" s="459" t="str">
        <v xml:space="preserve"> </v>
      </c>
      <c r="C319" s="747" t="str">
        <f>A36</f>
        <v>H2O 1.5L 600g 6bar</v>
      </c>
      <c r="D319" s="748"/>
      <c r="F319" s="747" t="str">
        <f>A77</f>
        <v>µ-propu C6-3</v>
      </c>
      <c r="G319" s="748"/>
      <c r="H319" s="558"/>
      <c r="I319" s="745" t="str">
        <f>A158</f>
        <v>p29-1G 57F59</v>
      </c>
      <c r="J319" s="746"/>
      <c r="K319" s="558"/>
      <c r="L319" s="745" t="str">
        <f>A158</f>
        <v>p29-1G 57F59</v>
      </c>
      <c r="M319" s="746"/>
      <c r="O319" s="747" t="str">
        <f>A118</f>
        <v>p24-1G 26E31</v>
      </c>
      <c r="P319" s="748"/>
      <c r="R319" s="747" t="s">
        <v>184</v>
      </c>
      <c r="S319" s="748"/>
    </row>
    <row r="320" spans="1:25" x14ac:dyDescent="0.25">
      <c r="A320" s="459" t="str">
        <v xml:space="preserve"> </v>
      </c>
      <c r="C320" s="747" t="str">
        <f>A41</f>
        <v>H2O 1.5L 750g 6bar</v>
      </c>
      <c r="D320" s="748"/>
      <c r="F320" s="747" t="str">
        <f>A82</f>
        <v>µ-propu C6-3 x2</v>
      </c>
      <c r="G320" s="748"/>
      <c r="H320" s="558"/>
      <c r="I320" s="745" t="str">
        <f>A183</f>
        <v>p24-3G 74F85</v>
      </c>
      <c r="J320" s="746"/>
      <c r="K320" s="558"/>
      <c r="L320" s="745" t="str">
        <f>A228</f>
        <v>p29-2G 116G126</v>
      </c>
      <c r="M320" s="746"/>
      <c r="O320" s="747" t="str">
        <f>A123</f>
        <v>p24-2G 50E51</v>
      </c>
      <c r="P320" s="748"/>
      <c r="R320" s="747" t="s">
        <v>184</v>
      </c>
      <c r="S320" s="748"/>
    </row>
    <row r="321" spans="1:19" x14ac:dyDescent="0.25">
      <c r="A321" s="459" t="str">
        <v xml:space="preserve"> </v>
      </c>
      <c r="C321" s="747" t="str">
        <f>A46</f>
        <v>H2O 2.0L 400g 6bar</v>
      </c>
      <c r="D321" s="748"/>
      <c r="F321" s="747" t="str">
        <f>A87</f>
        <v>µ-propu C6-3 x3</v>
      </c>
      <c r="G321" s="748"/>
      <c r="H321" s="558"/>
      <c r="I321" s="745" t="str">
        <f>A188</f>
        <v>p24-3G 75F51</v>
      </c>
      <c r="J321" s="746"/>
      <c r="K321" s="558"/>
      <c r="L321" s="745" t="s">
        <v>184</v>
      </c>
      <c r="M321" s="746"/>
      <c r="O321" s="747" t="str">
        <f>A128</f>
        <v>p24-1G 53E70</v>
      </c>
      <c r="P321" s="748"/>
      <c r="R321" s="747" t="s">
        <v>184</v>
      </c>
      <c r="S321" s="748"/>
    </row>
    <row r="322" spans="1:19" x14ac:dyDescent="0.25">
      <c r="A322" s="459" t="str">
        <v xml:space="preserve"> </v>
      </c>
      <c r="C322" s="747" t="str">
        <f>A51</f>
        <v>H2O 2.0L 600g 6bar</v>
      </c>
      <c r="D322" s="748"/>
      <c r="F322" s="747" t="s">
        <v>184</v>
      </c>
      <c r="G322" s="748"/>
      <c r="H322" s="558"/>
      <c r="I322" s="745" t="s">
        <v>184</v>
      </c>
      <c r="J322" s="746"/>
      <c r="K322" s="558"/>
      <c r="L322" s="747" t="str">
        <f>A198</f>
        <v>Pandora (Pro24-6G BS)</v>
      </c>
      <c r="M322" s="748"/>
      <c r="O322" s="747" t="str">
        <f>A133</f>
        <v>p29-1G 41F36</v>
      </c>
      <c r="P322" s="748"/>
      <c r="R322" s="747" t="s">
        <v>184</v>
      </c>
      <c r="S322" s="748"/>
    </row>
    <row r="323" spans="1:19" x14ac:dyDescent="0.25">
      <c r="A323" s="459" t="str">
        <v xml:space="preserve"> </v>
      </c>
      <c r="C323" s="747" t="str">
        <f>A56</f>
        <v>H2O 2.0L 800g 6bar</v>
      </c>
      <c r="D323" s="748"/>
      <c r="F323" s="747" t="s">
        <v>184</v>
      </c>
      <c r="G323" s="748"/>
      <c r="H323" s="558"/>
      <c r="I323" s="745" t="s">
        <v>184</v>
      </c>
      <c r="J323" s="746"/>
      <c r="K323" s="558"/>
      <c r="L323" s="747" t="s">
        <v>184</v>
      </c>
      <c r="M323" s="748"/>
      <c r="O323" s="747" t="str">
        <f>A138</f>
        <v>p29-1G 51F36</v>
      </c>
      <c r="P323" s="748"/>
      <c r="R323" s="747" t="s">
        <v>184</v>
      </c>
      <c r="S323" s="748"/>
    </row>
    <row r="324" spans="1:19" x14ac:dyDescent="0.25">
      <c r="A324" s="459" t="str">
        <v xml:space="preserve"> </v>
      </c>
      <c r="C324" s="747" t="str">
        <f>A61</f>
        <v>H2O 2.0L 1000g 6bar</v>
      </c>
      <c r="D324" s="748"/>
      <c r="F324" s="747" t="s">
        <v>184</v>
      </c>
      <c r="G324" s="748"/>
      <c r="H324" s="558"/>
      <c r="I324" s="745" t="s">
        <v>184</v>
      </c>
      <c r="J324" s="746"/>
      <c r="K324" s="558"/>
      <c r="L324" s="747" t="str">
        <f>A92</f>
        <v>Klima D9-7</v>
      </c>
      <c r="M324" s="748"/>
      <c r="O324" s="747" t="str">
        <f>A143</f>
        <v>p29-1G 55F29</v>
      </c>
      <c r="P324" s="748"/>
      <c r="R324" s="747" t="s">
        <v>184</v>
      </c>
      <c r="S324" s="748"/>
    </row>
    <row r="325" spans="1:19" x14ac:dyDescent="0.25">
      <c r="A325" s="459" t="str">
        <v xml:space="preserve"> </v>
      </c>
      <c r="C325" s="747" t="s">
        <v>184</v>
      </c>
      <c r="D325" s="748"/>
      <c r="F325" s="747" t="s">
        <v>184</v>
      </c>
      <c r="G325" s="748"/>
      <c r="H325" s="558"/>
      <c r="I325" s="745" t="s">
        <v>184</v>
      </c>
      <c r="J325" s="746"/>
      <c r="K325" s="558"/>
      <c r="L325" s="747" t="str">
        <f>A97</f>
        <v>Klima D9-7 x2</v>
      </c>
      <c r="M325" s="748"/>
      <c r="O325" s="747" t="str">
        <f>A153</f>
        <v>p29-1G 56F120</v>
      </c>
      <c r="P325" s="748"/>
      <c r="R325" s="747" t="s">
        <v>184</v>
      </c>
      <c r="S325" s="748"/>
    </row>
    <row r="326" spans="1:19" x14ac:dyDescent="0.25">
      <c r="A326" s="459" t="str">
        <v xml:space="preserve"> </v>
      </c>
      <c r="C326" s="747" t="s">
        <v>184</v>
      </c>
      <c r="D326" s="748"/>
      <c r="F326" s="747" t="s">
        <v>184</v>
      </c>
      <c r="G326" s="748"/>
      <c r="H326" s="558"/>
      <c r="I326" s="745" t="s">
        <v>184</v>
      </c>
      <c r="J326" s="746"/>
      <c r="K326" s="558"/>
      <c r="L326" s="747" t="str">
        <f>A102</f>
        <v>Klima D9-7 x3</v>
      </c>
      <c r="M326" s="748"/>
      <c r="O326" s="747" t="str">
        <f>A158</f>
        <v>p29-1G 57F59</v>
      </c>
      <c r="P326" s="748"/>
      <c r="R326" s="747" t="s">
        <v>184</v>
      </c>
      <c r="S326" s="748"/>
    </row>
    <row r="327" spans="1:19" x14ac:dyDescent="0.25">
      <c r="A327" s="459" t="str">
        <v xml:space="preserve"> </v>
      </c>
      <c r="C327" s="747" t="s">
        <v>184</v>
      </c>
      <c r="D327" s="748"/>
      <c r="F327" s="747" t="s">
        <v>184</v>
      </c>
      <c r="G327" s="748"/>
      <c r="H327" s="558"/>
      <c r="I327" s="745" t="s">
        <v>184</v>
      </c>
      <c r="J327" s="746"/>
      <c r="K327" s="558"/>
      <c r="L327" s="747" t="s">
        <v>184</v>
      </c>
      <c r="M327" s="748"/>
      <c r="O327" s="747" t="str">
        <f>A163</f>
        <v>p24-3G 60F50</v>
      </c>
      <c r="P327" s="748"/>
      <c r="R327" s="747" t="s">
        <v>184</v>
      </c>
      <c r="S327" s="748"/>
    </row>
    <row r="328" spans="1:19" x14ac:dyDescent="0.25">
      <c r="A328" s="459" t="str">
        <v xml:space="preserve"> </v>
      </c>
      <c r="C328" s="747" t="s">
        <v>184</v>
      </c>
      <c r="D328" s="748"/>
      <c r="F328" s="747" t="s">
        <v>184</v>
      </c>
      <c r="G328" s="748"/>
      <c r="H328" s="558"/>
      <c r="I328" s="745" t="s">
        <v>184</v>
      </c>
      <c r="J328" s="746"/>
      <c r="K328" s="558"/>
      <c r="L328" s="747" t="s">
        <v>184</v>
      </c>
      <c r="M328" s="748"/>
      <c r="O328" s="747" t="str">
        <f>A168</f>
        <v>p24-3G 68F79</v>
      </c>
      <c r="P328" s="748"/>
      <c r="R328" s="747" t="s">
        <v>184</v>
      </c>
      <c r="S328" s="748"/>
    </row>
    <row r="329" spans="1:19" x14ac:dyDescent="0.25">
      <c r="A329" s="459" t="str">
        <v xml:space="preserve"> </v>
      </c>
      <c r="C329" s="747" t="s">
        <v>184</v>
      </c>
      <c r="D329" s="748"/>
      <c r="F329" s="747" t="s">
        <v>184</v>
      </c>
      <c r="G329" s="748"/>
      <c r="H329" s="558"/>
      <c r="I329" s="745" t="s">
        <v>184</v>
      </c>
      <c r="J329" s="746"/>
      <c r="K329" s="558"/>
      <c r="L329" s="747" t="s">
        <v>184</v>
      </c>
      <c r="M329" s="748"/>
      <c r="O329" s="747" t="str">
        <f>A173</f>
        <v>p24-3G 68F240</v>
      </c>
      <c r="P329" s="748"/>
      <c r="R329" s="747" t="s">
        <v>184</v>
      </c>
      <c r="S329" s="748"/>
    </row>
    <row r="330" spans="1:19" x14ac:dyDescent="0.25">
      <c r="A330" s="459" t="str">
        <v xml:space="preserve"> </v>
      </c>
      <c r="C330" s="747" t="s">
        <v>184</v>
      </c>
      <c r="D330" s="748"/>
      <c r="F330" s="747" t="s">
        <v>184</v>
      </c>
      <c r="G330" s="748"/>
      <c r="H330" s="558"/>
      <c r="I330" s="745" t="s">
        <v>184</v>
      </c>
      <c r="J330" s="746"/>
      <c r="K330" s="558"/>
      <c r="L330" s="747" t="s">
        <v>184</v>
      </c>
      <c r="M330" s="748"/>
      <c r="O330" s="747" t="str">
        <f>A178</f>
        <v>p24-3G 73F30</v>
      </c>
      <c r="P330" s="748"/>
      <c r="R330" s="747" t="s">
        <v>184</v>
      </c>
      <c r="S330" s="748"/>
    </row>
    <row r="331" spans="1:19" x14ac:dyDescent="0.25">
      <c r="A331" s="459" t="str">
        <v xml:space="preserve"> </v>
      </c>
      <c r="C331" s="747" t="s">
        <v>184</v>
      </c>
      <c r="D331" s="748"/>
      <c r="F331" s="747" t="s">
        <v>184</v>
      </c>
      <c r="G331" s="748"/>
      <c r="H331" s="558"/>
      <c r="I331" s="754" t="s">
        <v>184</v>
      </c>
      <c r="J331" s="755"/>
      <c r="K331" s="558"/>
      <c r="L331" s="747" t="s">
        <v>184</v>
      </c>
      <c r="M331" s="748"/>
      <c r="O331" s="747" t="str">
        <f>A183</f>
        <v>p24-3G 74F85</v>
      </c>
      <c r="P331" s="748"/>
      <c r="R331" s="747" t="s">
        <v>184</v>
      </c>
      <c r="S331" s="748"/>
    </row>
    <row r="332" spans="1:19" x14ac:dyDescent="0.25">
      <c r="A332" s="545" t="str">
        <v xml:space="preserve"> </v>
      </c>
      <c r="C332" s="750" t="s">
        <v>184</v>
      </c>
      <c r="D332" s="751"/>
      <c r="F332" s="750" t="s">
        <v>184</v>
      </c>
      <c r="G332" s="751"/>
      <c r="H332" s="558"/>
      <c r="I332" s="750" t="s">
        <v>184</v>
      </c>
      <c r="J332" s="751"/>
      <c r="K332" s="558"/>
      <c r="L332" s="750" t="s">
        <v>184</v>
      </c>
      <c r="M332" s="751"/>
      <c r="O332" s="747" t="str">
        <f>A188</f>
        <v>p24-3G 75F51</v>
      </c>
      <c r="P332" s="748"/>
      <c r="R332" s="750" t="s">
        <v>184</v>
      </c>
      <c r="S332" s="751"/>
    </row>
    <row r="333" spans="1:19" x14ac:dyDescent="0.25">
      <c r="A333" s="459" t="str">
        <v xml:space="preserve"> </v>
      </c>
      <c r="C333" s="759" t="s">
        <v>184</v>
      </c>
      <c r="D333" s="759"/>
      <c r="F333" s="759" t="s">
        <v>184</v>
      </c>
      <c r="G333" s="759"/>
      <c r="I333" s="753" t="s">
        <v>184</v>
      </c>
      <c r="J333" s="753"/>
      <c r="L333" s="753" t="s">
        <v>184</v>
      </c>
      <c r="M333" s="753"/>
      <c r="O333" s="747" t="str">
        <f>A213</f>
        <v>p29-2G 84G88</v>
      </c>
      <c r="P333" s="748"/>
      <c r="R333" s="752" t="s">
        <v>184</v>
      </c>
      <c r="S333" s="752"/>
    </row>
    <row r="334" spans="1:19" x14ac:dyDescent="0.25">
      <c r="A334" s="546" t="str">
        <v>Isard</v>
      </c>
      <c r="C334" s="739" t="s">
        <v>184</v>
      </c>
      <c r="D334" s="739"/>
      <c r="F334" s="739" t="s">
        <v>184</v>
      </c>
      <c r="G334" s="739"/>
      <c r="I334" s="753" t="s">
        <v>184</v>
      </c>
      <c r="J334" s="753"/>
      <c r="L334" s="753" t="s">
        <v>184</v>
      </c>
      <c r="M334" s="753"/>
      <c r="O334" s="747" t="str">
        <f>A218</f>
        <v>p29-2G 93G80</v>
      </c>
      <c r="P334" s="748"/>
      <c r="R334" s="749" t="str">
        <f>A269</f>
        <v>Isard</v>
      </c>
      <c r="S334" s="749"/>
    </row>
    <row r="335" spans="1:19" x14ac:dyDescent="0.25">
      <c r="A335" s="546" t="str">
        <v>Chamois</v>
      </c>
      <c r="C335" s="739" t="s">
        <v>184</v>
      </c>
      <c r="D335" s="739"/>
      <c r="F335" s="739" t="s">
        <v>184</v>
      </c>
      <c r="G335" s="739"/>
      <c r="I335" s="753" t="s">
        <v>184</v>
      </c>
      <c r="J335" s="753"/>
      <c r="L335" s="753" t="s">
        <v>184</v>
      </c>
      <c r="M335" s="753"/>
      <c r="O335" s="747" t="str">
        <f>A223</f>
        <v>p29-2G 110G250</v>
      </c>
      <c r="P335" s="748"/>
      <c r="R335" s="749" t="str">
        <f>A274</f>
        <v>Chamois</v>
      </c>
      <c r="S335" s="749"/>
    </row>
    <row r="336" spans="1:19" x14ac:dyDescent="0.25">
      <c r="A336" s="546" t="str">
        <v>Pro75-2G</v>
      </c>
      <c r="C336" s="739" t="s">
        <v>184</v>
      </c>
      <c r="D336" s="739"/>
      <c r="F336" s="739" t="s">
        <v>184</v>
      </c>
      <c r="G336" s="739"/>
      <c r="I336" s="753" t="s">
        <v>184</v>
      </c>
      <c r="J336" s="753"/>
      <c r="L336" s="753" t="s">
        <v>184</v>
      </c>
      <c r="M336" s="753"/>
      <c r="O336" s="747" t="str">
        <f>A228</f>
        <v>p29-2G 116G126</v>
      </c>
      <c r="P336" s="748"/>
      <c r="R336" s="749" t="str">
        <f>A284</f>
        <v>Pro75-2G</v>
      </c>
      <c r="S336" s="749"/>
    </row>
    <row r="337" spans="1:19" x14ac:dyDescent="0.25">
      <c r="A337" s="546" t="str">
        <v>Pro98-2G WT</v>
      </c>
      <c r="C337" s="739" t="s">
        <v>184</v>
      </c>
      <c r="D337" s="739"/>
      <c r="F337" s="739" t="s">
        <v>184</v>
      </c>
      <c r="G337" s="739"/>
      <c r="I337" s="753" t="s">
        <v>184</v>
      </c>
      <c r="J337" s="753"/>
      <c r="L337" s="753" t="s">
        <v>184</v>
      </c>
      <c r="M337" s="753"/>
      <c r="O337" s="747" t="str">
        <f>A233</f>
        <v>p29-3G 125G131</v>
      </c>
      <c r="P337" s="748"/>
      <c r="R337" s="749" t="str">
        <f>A294</f>
        <v>Pro98-2G WT</v>
      </c>
      <c r="S337" s="749"/>
    </row>
    <row r="338" spans="1:19" x14ac:dyDescent="0.25">
      <c r="A338" s="546" t="str">
        <v>Pro98-3G WT</v>
      </c>
      <c r="C338" s="739" t="s">
        <v>184</v>
      </c>
      <c r="D338" s="739"/>
      <c r="F338" s="739" t="s">
        <v>184</v>
      </c>
      <c r="G338" s="739"/>
      <c r="I338" s="753" t="s">
        <v>184</v>
      </c>
      <c r="J338" s="753"/>
      <c r="L338" s="753" t="s">
        <v>184</v>
      </c>
      <c r="M338" s="753"/>
      <c r="O338" s="747" t="str">
        <f>A248</f>
        <v>p38-1G 128G185</v>
      </c>
      <c r="P338" s="748"/>
      <c r="R338" s="749" t="str">
        <f>A299</f>
        <v>Pro98-3G WT</v>
      </c>
      <c r="S338" s="749"/>
    </row>
    <row r="339" spans="1:19" x14ac:dyDescent="0.25">
      <c r="A339" s="546" t="str">
        <v>Aucun (2e ét. inerte)</v>
      </c>
      <c r="C339" s="739" t="s">
        <v>184</v>
      </c>
      <c r="D339" s="739"/>
      <c r="F339" s="739" t="s">
        <v>184</v>
      </c>
      <c r="G339" s="739"/>
      <c r="I339" s="753" t="s">
        <v>184</v>
      </c>
      <c r="J339" s="753"/>
      <c r="L339" s="753" t="s">
        <v>184</v>
      </c>
      <c r="M339" s="753"/>
      <c r="O339" s="747" t="str">
        <f>A243</f>
        <v>p38-1G 137G58</v>
      </c>
      <c r="P339" s="748"/>
      <c r="R339" s="749" t="str">
        <f>A309</f>
        <v>Aucun (2e ét. inerte)</v>
      </c>
      <c r="S339" s="749"/>
    </row>
    <row r="340" spans="1:19" x14ac:dyDescent="0.25">
      <c r="A340" s="546" t="str">
        <v xml:space="preserve"> </v>
      </c>
      <c r="C340" s="739" t="s">
        <v>184</v>
      </c>
      <c r="D340" s="739"/>
      <c r="F340" s="739" t="s">
        <v>184</v>
      </c>
      <c r="G340" s="739"/>
      <c r="I340" s="753" t="s">
        <v>184</v>
      </c>
      <c r="J340" s="753"/>
      <c r="L340" s="753" t="s">
        <v>184</v>
      </c>
      <c r="M340" s="753"/>
      <c r="O340" s="747" t="str">
        <f>A253</f>
        <v>p38-1G 141G78</v>
      </c>
      <c r="P340" s="748"/>
      <c r="R340" s="744" t="s">
        <v>184</v>
      </c>
      <c r="S340" s="744"/>
    </row>
    <row r="341" spans="1:19" x14ac:dyDescent="0.25">
      <c r="A341" s="546" t="str">
        <v xml:space="preserve"> </v>
      </c>
      <c r="C341" s="739" t="s">
        <v>184</v>
      </c>
      <c r="D341" s="739"/>
      <c r="F341" s="739" t="s">
        <v>184</v>
      </c>
      <c r="G341" s="739"/>
      <c r="I341" s="742" t="s">
        <v>184</v>
      </c>
      <c r="J341" s="742"/>
      <c r="L341" s="753" t="s">
        <v>184</v>
      </c>
      <c r="M341" s="753"/>
      <c r="O341" s="747" t="str">
        <f>A193</f>
        <v>p24-6G 140G145 PK</v>
      </c>
      <c r="P341" s="748"/>
      <c r="R341" s="739" t="s">
        <v>184</v>
      </c>
      <c r="S341" s="739"/>
    </row>
    <row r="342" spans="1:19" x14ac:dyDescent="0.25">
      <c r="A342" s="546" t="str">
        <v xml:space="preserve"> </v>
      </c>
      <c r="C342" s="739" t="s">
        <v>184</v>
      </c>
      <c r="D342" s="739"/>
      <c r="F342" s="739" t="s">
        <v>184</v>
      </c>
      <c r="G342" s="739"/>
      <c r="I342" s="742" t="s">
        <v>184</v>
      </c>
      <c r="J342" s="742"/>
      <c r="L342" s="753" t="s">
        <v>184</v>
      </c>
      <c r="M342" s="753"/>
      <c r="O342" s="747" t="str">
        <f>A198</f>
        <v>Pandora (Pro24-6G BS)</v>
      </c>
      <c r="P342" s="748"/>
      <c r="R342" s="739" t="s">
        <v>184</v>
      </c>
      <c r="S342" s="739"/>
    </row>
    <row r="343" spans="1:19" x14ac:dyDescent="0.25">
      <c r="A343" s="546" t="str">
        <v xml:space="preserve"> </v>
      </c>
      <c r="C343" s="739" t="s">
        <v>184</v>
      </c>
      <c r="D343" s="739"/>
      <c r="F343" s="739" t="s">
        <v>184</v>
      </c>
      <c r="G343" s="739"/>
      <c r="I343" s="742" t="s">
        <v>184</v>
      </c>
      <c r="J343" s="742"/>
      <c r="L343" s="742" t="s">
        <v>184</v>
      </c>
      <c r="M343" s="742"/>
      <c r="O343" s="745" t="str">
        <f>A203</f>
        <v>p24-6G 142G117 WT</v>
      </c>
      <c r="P343" s="746"/>
      <c r="R343" s="739" t="s">
        <v>184</v>
      </c>
      <c r="S343" s="739"/>
    </row>
    <row r="344" spans="1:19" x14ac:dyDescent="0.25">
      <c r="A344" s="546" t="str">
        <v xml:space="preserve"> </v>
      </c>
      <c r="C344" s="739" t="s">
        <v>184</v>
      </c>
      <c r="D344" s="739"/>
      <c r="F344" s="739" t="s">
        <v>184</v>
      </c>
      <c r="G344" s="739"/>
      <c r="I344" s="743" t="s">
        <v>184</v>
      </c>
      <c r="J344" s="743"/>
      <c r="L344" s="742" t="s">
        <v>184</v>
      </c>
      <c r="M344" s="742"/>
      <c r="O344" s="745" t="str">
        <f>A208</f>
        <v>p24-6G 139G107 DT</v>
      </c>
      <c r="P344" s="746"/>
      <c r="R344" s="739" t="s">
        <v>184</v>
      </c>
      <c r="S344" s="739"/>
    </row>
    <row r="345" spans="1:19" x14ac:dyDescent="0.25">
      <c r="A345" s="546" t="str">
        <v xml:space="preserve"> </v>
      </c>
      <c r="C345" s="739" t="s">
        <v>184</v>
      </c>
      <c r="D345" s="739"/>
      <c r="F345" s="739" t="s">
        <v>184</v>
      </c>
      <c r="G345" s="739"/>
      <c r="I345" s="739" t="s">
        <v>184</v>
      </c>
      <c r="J345" s="739"/>
      <c r="L345" s="742" t="s">
        <v>184</v>
      </c>
      <c r="M345" s="742"/>
      <c r="O345" s="745" t="str">
        <f>A263</f>
        <v>Cariacou</v>
      </c>
      <c r="P345" s="746"/>
      <c r="R345" s="739" t="s">
        <v>184</v>
      </c>
      <c r="S345" s="739"/>
    </row>
    <row r="346" spans="1:19" x14ac:dyDescent="0.25">
      <c r="A346" s="559" t="str">
        <v xml:space="preserve"> </v>
      </c>
      <c r="C346" s="739" t="s">
        <v>184</v>
      </c>
      <c r="D346" s="739"/>
      <c r="F346" s="739" t="s">
        <v>184</v>
      </c>
      <c r="G346" s="739"/>
      <c r="I346" s="739" t="s">
        <v>184</v>
      </c>
      <c r="J346" s="739"/>
      <c r="L346" s="743" t="s">
        <v>184</v>
      </c>
      <c r="M346" s="743"/>
      <c r="O346" s="740" t="str">
        <f>A258</f>
        <v>Wapiti</v>
      </c>
      <c r="P346" s="741"/>
      <c r="R346" s="739" t="s">
        <v>184</v>
      </c>
      <c r="S346" s="739"/>
    </row>
  </sheetData>
  <sheetProtection password="C6AC" sheet="1" objects="1" scenarios="1"/>
  <dataConsolidate/>
  <mergeCells count="186">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 ref="C345:D345"/>
    <mergeCell ref="C346:D346"/>
    <mergeCell ref="C335:D335"/>
    <mergeCell ref="C336:D336"/>
    <mergeCell ref="C337:D337"/>
    <mergeCell ref="C338:D338"/>
    <mergeCell ref="C339:D339"/>
    <mergeCell ref="C340:D340"/>
    <mergeCell ref="C334:D334"/>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R317:S318 C317:D324 F317:G321 O322:P339 O342:P342 R334:S339 O340:O341 O317:P319 O320:P321 P341 M324"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B219" sqref="B219"/>
    </sheetView>
  </sheetViews>
  <sheetFormatPr baseColWidth="10" defaultColWidth="11.6640625" defaultRowHeight="13.2" x14ac:dyDescent="0.25"/>
  <cols>
    <col min="1" max="1" width="4.6640625" style="11" bestFit="1" customWidth="1"/>
    <col min="2" max="2" width="6" style="11" bestFit="1" customWidth="1"/>
    <col min="3" max="3" width="1.33203125" style="12" customWidth="1"/>
    <col min="4" max="4" width="7.21875" style="13" customWidth="1"/>
    <col min="5" max="6" width="7.33203125" style="13" customWidth="1"/>
    <col min="7" max="7" width="7.21875" style="13" customWidth="1"/>
    <col min="8" max="8" width="7.33203125" style="13" customWidth="1"/>
    <col min="9" max="9" width="7.21875" style="13" customWidth="1"/>
    <col min="10" max="12" width="7.6640625" style="13" bestFit="1" customWidth="1"/>
    <col min="13" max="13" width="5.77734375" style="13" customWidth="1"/>
    <col min="14" max="14" width="6.33203125" style="13" customWidth="1"/>
    <col min="15" max="15" width="1.33203125" style="12" customWidth="1"/>
    <col min="16" max="16" width="4" style="13" customWidth="1"/>
    <col min="17" max="17" width="8.6640625" style="13" customWidth="1"/>
    <col min="18" max="18" width="5.77734375" style="13" customWidth="1"/>
    <col min="19" max="19" width="5.21875" style="13" customWidth="1"/>
    <col min="20" max="20" width="6" style="13" customWidth="1"/>
    <col min="21" max="21" width="8.77734375" style="13" customWidth="1"/>
    <col min="22" max="22" width="6.77734375" style="13" customWidth="1"/>
    <col min="23" max="23" width="7.21875" style="13" customWidth="1"/>
    <col min="24" max="24" width="1.33203125" style="12" customWidth="1"/>
    <col min="25" max="25" width="15.77734375" style="13" customWidth="1"/>
    <col min="26" max="26" width="5.77734375" style="13" customWidth="1"/>
    <col min="27" max="27" width="7.77734375" style="13" customWidth="1"/>
    <col min="28" max="28" width="1.6640625" style="13" customWidth="1"/>
    <col min="29" max="29" width="7.21875" style="13" bestFit="1" customWidth="1"/>
    <col min="30" max="31" width="6.77734375" style="13" bestFit="1" customWidth="1"/>
    <col min="32" max="32" width="1.77734375" style="13" customWidth="1"/>
    <col min="33" max="238" width="11.33203125" style="13" customWidth="1"/>
    <col min="239" max="239" width="11" style="13" customWidth="1"/>
  </cols>
  <sheetData>
    <row r="1" spans="1:248" ht="13.8" thickBot="1" x14ac:dyDescent="0.3">
      <c r="D1" s="760" t="s">
        <v>266</v>
      </c>
      <c r="E1" s="761"/>
      <c r="F1" s="761"/>
      <c r="G1" s="761"/>
      <c r="H1" s="761"/>
      <c r="I1" s="761"/>
      <c r="J1" s="761"/>
      <c r="K1" s="761"/>
      <c r="L1" s="761"/>
      <c r="M1" s="761"/>
      <c r="N1" s="762"/>
      <c r="P1" s="760" t="s">
        <v>17</v>
      </c>
      <c r="Q1" s="761"/>
      <c r="R1" s="761"/>
      <c r="S1" s="761"/>
      <c r="T1" s="761"/>
      <c r="U1" s="761"/>
      <c r="V1" s="761"/>
      <c r="W1" s="762"/>
      <c r="Y1" s="14"/>
      <c r="Z1" s="14"/>
      <c r="AA1" s="14"/>
      <c r="AC1" s="767" t="s">
        <v>186</v>
      </c>
      <c r="AD1" s="768"/>
      <c r="AE1" s="768"/>
      <c r="AG1" s="763" t="s">
        <v>18</v>
      </c>
      <c r="AH1" s="763"/>
    </row>
    <row r="2" spans="1:248" s="17" customFormat="1" x14ac:dyDescent="0.25">
      <c r="A2" s="383" t="s">
        <v>19</v>
      </c>
      <c r="B2" s="384" t="s">
        <v>2</v>
      </c>
      <c r="C2" s="15"/>
      <c r="D2" s="387" t="s">
        <v>193</v>
      </c>
      <c r="E2" s="388" t="s">
        <v>194</v>
      </c>
      <c r="F2" s="384" t="s">
        <v>195</v>
      </c>
      <c r="G2" s="387" t="s">
        <v>190</v>
      </c>
      <c r="H2" s="388" t="s">
        <v>191</v>
      </c>
      <c r="I2" s="384" t="s">
        <v>192</v>
      </c>
      <c r="J2" s="387" t="s">
        <v>187</v>
      </c>
      <c r="K2" s="388" t="s">
        <v>188</v>
      </c>
      <c r="L2" s="384" t="s">
        <v>189</v>
      </c>
      <c r="M2" s="389" t="s">
        <v>20</v>
      </c>
      <c r="N2" s="384" t="s">
        <v>21</v>
      </c>
      <c r="O2" s="15"/>
      <c r="P2" s="389" t="s">
        <v>26</v>
      </c>
      <c r="Q2" s="384" t="s">
        <v>25</v>
      </c>
      <c r="R2" s="389" t="s">
        <v>22</v>
      </c>
      <c r="S2" s="392" t="s">
        <v>39</v>
      </c>
      <c r="T2" s="384" t="s">
        <v>27</v>
      </c>
      <c r="U2" s="393" t="s">
        <v>28</v>
      </c>
      <c r="V2" s="389" t="s">
        <v>24</v>
      </c>
      <c r="W2" s="384" t="s">
        <v>23</v>
      </c>
      <c r="X2" s="16"/>
      <c r="Y2" s="764" t="s">
        <v>185</v>
      </c>
      <c r="Z2" s="765"/>
      <c r="AA2" s="766"/>
      <c r="AC2" s="389" t="s">
        <v>11</v>
      </c>
      <c r="AD2" s="388" t="s">
        <v>3</v>
      </c>
      <c r="AE2" s="384" t="s">
        <v>29</v>
      </c>
      <c r="AG2" s="400" t="s">
        <v>31</v>
      </c>
      <c r="AH2" s="401" t="s">
        <v>30</v>
      </c>
      <c r="IF2"/>
      <c r="IG2"/>
      <c r="IH2"/>
      <c r="II2"/>
      <c r="IJ2"/>
      <c r="IK2"/>
      <c r="IL2"/>
      <c r="IM2"/>
      <c r="IN2"/>
    </row>
    <row r="3" spans="1:248" s="17" customFormat="1" x14ac:dyDescent="0.25">
      <c r="A3" s="385" t="s">
        <v>154</v>
      </c>
      <c r="B3" s="386" t="s">
        <v>154</v>
      </c>
      <c r="C3" s="15"/>
      <c r="D3" s="390" t="s">
        <v>7</v>
      </c>
      <c r="E3" s="391" t="s">
        <v>7</v>
      </c>
      <c r="F3" s="386" t="s">
        <v>7</v>
      </c>
      <c r="G3" s="390" t="s">
        <v>155</v>
      </c>
      <c r="H3" s="391" t="s">
        <v>155</v>
      </c>
      <c r="I3" s="386" t="s">
        <v>155</v>
      </c>
      <c r="J3" s="390" t="s">
        <v>39</v>
      </c>
      <c r="K3" s="391" t="s">
        <v>39</v>
      </c>
      <c r="L3" s="386" t="s">
        <v>39</v>
      </c>
      <c r="M3" s="385" t="s">
        <v>244</v>
      </c>
      <c r="N3" s="386" t="s">
        <v>156</v>
      </c>
      <c r="O3" s="15"/>
      <c r="P3" s="390" t="s">
        <v>14</v>
      </c>
      <c r="Q3" s="394" t="s">
        <v>227</v>
      </c>
      <c r="R3" s="390" t="s">
        <v>245</v>
      </c>
      <c r="S3" s="395" t="s">
        <v>228</v>
      </c>
      <c r="T3" s="394" t="s">
        <v>227</v>
      </c>
      <c r="U3" s="396" t="s">
        <v>227</v>
      </c>
      <c r="V3" s="390" t="s">
        <v>8</v>
      </c>
      <c r="W3" s="394" t="s">
        <v>227</v>
      </c>
      <c r="X3" s="16"/>
      <c r="Y3" s="397"/>
      <c r="Z3" s="398"/>
      <c r="AA3" s="399"/>
      <c r="AC3" s="390" t="s">
        <v>154</v>
      </c>
      <c r="AD3" s="395" t="s">
        <v>39</v>
      </c>
      <c r="AE3" s="394" t="s">
        <v>39</v>
      </c>
      <c r="AG3" s="397" t="s">
        <v>7</v>
      </c>
      <c r="AH3" s="394" t="s">
        <v>7</v>
      </c>
      <c r="IF3"/>
      <c r="IG3"/>
      <c r="IH3"/>
      <c r="II3"/>
      <c r="IJ3"/>
      <c r="IK3"/>
      <c r="IL3"/>
      <c r="IM3"/>
      <c r="IN3"/>
    </row>
    <row r="4" spans="1:248" x14ac:dyDescent="0.25">
      <c r="A4" s="345" t="s">
        <v>14</v>
      </c>
      <c r="B4" s="404">
        <f>T_ini</f>
        <v>0</v>
      </c>
      <c r="C4" s="342"/>
      <c r="D4" s="345" t="s">
        <v>14</v>
      </c>
      <c r="E4" s="346" t="s">
        <v>14</v>
      </c>
      <c r="F4" s="347" t="s">
        <v>14</v>
      </c>
      <c r="G4" s="345">
        <f>vit_xz*COS(Beta)</f>
        <v>0</v>
      </c>
      <c r="H4" s="346">
        <f>vit_xz*SIN(Beta)</f>
        <v>0</v>
      </c>
      <c r="I4" s="404">
        <f>V_ini</f>
        <v>0</v>
      </c>
      <c r="J4" s="405">
        <f>X_ini</f>
        <v>0</v>
      </c>
      <c r="K4" s="406">
        <f>Z_ini</f>
        <v>0</v>
      </c>
      <c r="L4" s="380">
        <f t="shared" ref="L4:L67" si="0">SQRT(pos_x^2+pos_z^2)</f>
        <v>0</v>
      </c>
      <c r="M4" s="345">
        <f>RADIANS(N4)</f>
        <v>1.3962634015954636</v>
      </c>
      <c r="N4" s="404">
        <f>Beta_rampe</f>
        <v>80</v>
      </c>
      <c r="O4" s="343"/>
      <c r="P4" s="345" t="s">
        <v>14</v>
      </c>
      <c r="Q4" s="347" t="s">
        <v>14</v>
      </c>
      <c r="R4" s="345" t="s">
        <v>14</v>
      </c>
      <c r="S4" s="406">
        <f ca="1">m_tot</f>
        <v>12.510999999999999</v>
      </c>
      <c r="T4" s="380">
        <f t="shared" ref="T4:T67" ca="1" si="1">m*g</f>
        <v>122.73291</v>
      </c>
      <c r="U4" s="381">
        <f t="shared" ref="U4:U67" ca="1" si="2">IF(pos_xz&lt;L_rampe,Poids*COS(Beta),0)</f>
        <v>21.312346161259381</v>
      </c>
      <c r="V4" s="382">
        <f t="shared" ref="V4:V67" si="3">Rho_moyen*(20000-Alt_rampe-pos_z)/(20000+Alt_rampe+pos_z)</f>
        <v>1.2250000000000001</v>
      </c>
      <c r="W4" s="380">
        <f t="shared" ref="W4:W67" si="4">1/2*Rho*Sref*Cx*vit_xz^2</f>
        <v>0</v>
      </c>
      <c r="X4" s="343"/>
      <c r="Y4" s="348" t="s">
        <v>14</v>
      </c>
      <c r="Z4" s="349" t="s">
        <v>14</v>
      </c>
      <c r="AA4" s="350" t="s">
        <v>14</v>
      </c>
      <c r="AB4" s="344"/>
      <c r="AC4" s="373">
        <f>IF(ABS(t-ROUND(t,0))&lt;0.001,t,-1)</f>
        <v>0</v>
      </c>
      <c r="AD4" s="374">
        <f>IF(ABS(t-ROUND(t,0))&lt;0.001,pos_x,-1)</f>
        <v>0</v>
      </c>
      <c r="AE4" s="375">
        <f t="shared" ref="AE4:AE67" si="5">IF(t&lt;T_para, pos_z, NA())</f>
        <v>0</v>
      </c>
      <c r="AF4" s="344"/>
      <c r="AG4" s="345" t="s">
        <v>14</v>
      </c>
      <c r="AH4" s="347" t="s">
        <v>14</v>
      </c>
    </row>
    <row r="5" spans="1:248" x14ac:dyDescent="0.25">
      <c r="A5" s="402">
        <f t="shared" ref="A5:A68" ca="1" si="6">IF(B4+0.01&lt;=T_ini+ROUNDUP(Temps_fin_propu,0), 0.01, IF(K4&gt;0, 0.1, 0.0001))</f>
        <v>0.01</v>
      </c>
      <c r="B5" s="357">
        <f t="shared" ref="B5:B68" ca="1" si="7">B4+pas</f>
        <v>0.01</v>
      </c>
      <c r="C5" s="342"/>
      <c r="D5" s="359">
        <f t="shared" ref="D5:D68" ca="1" si="8">IF(AND(L4&lt;L_rampe,Poussee&lt;Poids*SIN(M4)),0,(-W4+Poussee)/m*COS(M4)-U4/m*SIN(M4))</f>
        <v>1.3024618983622922</v>
      </c>
      <c r="E5" s="360">
        <f t="shared" ref="E5:E68" ca="1" si="9">IF(AND(L4&lt;L_rampe,Poussee&lt;Poids*SIN(M4)),0,(-W4+Poussee)/m*SIN(M4)+U4/m*COS(M4)-Poids/m)</f>
        <v>7.3874718689412777</v>
      </c>
      <c r="F5" s="357">
        <f t="shared" ref="F5:F68" ca="1" si="10">SQRT(acc_x^2+acc_z^2)</f>
        <v>7.5014097082537923</v>
      </c>
      <c r="G5" s="359">
        <f t="shared" ref="G5:G68" ca="1" si="11">G4+acc_x*pas</f>
        <v>1.3024618983622923E-2</v>
      </c>
      <c r="H5" s="360">
        <f t="shared" ref="H5:H68" ca="1" si="12">H4+acc_z*pas</f>
        <v>7.3874718689412783E-2</v>
      </c>
      <c r="I5" s="357">
        <f t="shared" ref="I5:I68" ca="1" si="13">SQRT(vit_x^2+vit_z^2)</f>
        <v>7.5014097082537923E-2</v>
      </c>
      <c r="J5" s="359">
        <f t="shared" ref="J5:J68" ca="1" si="14">J4+0.5*(vit_x+G4)*pas*(K4&gt;=0)</f>
        <v>6.5123094918114621E-5</v>
      </c>
      <c r="K5" s="360">
        <f t="shared" ref="K5:K68" ca="1" si="15">K4+0.5*(vit_z+H4)*pas</f>
        <v>3.6937359344706394E-4</v>
      </c>
      <c r="L5" s="357">
        <f t="shared" ca="1" si="0"/>
        <v>3.7507048541268967E-4</v>
      </c>
      <c r="M5" s="359">
        <f t="shared" ref="M5:M68" ca="1" si="16">IF(AND(L4&gt;L_rampe,G5&gt;0),ATAN2(G5,H5),$M$4)</f>
        <v>1.3962634015954636</v>
      </c>
      <c r="N5" s="357">
        <f t="shared" ref="N5:N68" ca="1" si="17">DEGREES(Beta)</f>
        <v>80</v>
      </c>
      <c r="O5" s="343"/>
      <c r="P5" s="363">
        <f t="shared" ref="P5:P68" ca="1" si="18">MATCH(t-pas/2-T_ini,CdP_t)</f>
        <v>1</v>
      </c>
      <c r="Q5" s="357">
        <f t="shared" ref="Q5:Q68" ca="1" si="19">(INDEX(CdP,2,i_P+1)-INDEX(CdP,2,i_P+0))/(INDEX(CdP,1,i_P+1)-INDEX(CdP,1,i_P+0))*(t-pas/2-T_ini-INDEX(CdP,1,i_P+0))+INDEX(CdP,2,i_P+0)</f>
        <v>214.70000000000002</v>
      </c>
      <c r="R5" s="359">
        <f t="shared" ref="R5:R68" ca="1" si="20">Poussee/(g*ISP)</f>
        <v>0.10755015641095009</v>
      </c>
      <c r="S5" s="360">
        <f t="shared" ref="S5:S68" ca="1" si="21">S4-Débit*pas</f>
        <v>12.50992449843589</v>
      </c>
      <c r="T5" s="357">
        <f t="shared" ca="1" si="1"/>
        <v>122.72235932965609</v>
      </c>
      <c r="U5" s="364">
        <f t="shared" ca="1" si="2"/>
        <v>21.310514056580995</v>
      </c>
      <c r="V5" s="359">
        <f t="shared" ca="1" si="3"/>
        <v>1.2249999547517358</v>
      </c>
      <c r="W5" s="357">
        <f t="shared" ca="1" si="4"/>
        <v>1.5740625550653613E-5</v>
      </c>
      <c r="X5" s="343"/>
      <c r="Y5" s="367" t="str">
        <f t="shared" ref="Y5:Y68" ca="1" si="22">IF(AND(pos_z&lt;=0,K4&gt;0),"Impact balistique","") &amp; IF(AND(H6&lt;0,vit_z&gt;=0),"Apogée","") &amp; IF(AND(Poussee=0,Q4&gt;0),"Fin de propulsion","") &amp; IF(AND(L6&gt;L_rampe,pos_xz&lt;=L_rampe),"Sortie de rampe","")</f>
        <v/>
      </c>
      <c r="Z5" s="368" t="str">
        <f t="shared" ref="Z5:Z68" ca="1" si="23">IF(ABS(t-T_para)&lt;pas/2,"Para","")</f>
        <v/>
      </c>
      <c r="AA5" s="369" t="str">
        <f t="shared" ref="AA5:AA68" ca="1" si="24">IF(ABS(t-T_satellite)&lt;pas/2,"Satellite","")</f>
        <v/>
      </c>
      <c r="AB5" s="344"/>
      <c r="AC5" s="363" t="e">
        <f t="shared" ref="AC5:AC68" ca="1" si="25">IF(ABS(t-ROUND(t,0))&lt;0.001,t,NA())</f>
        <v>#N/A</v>
      </c>
      <c r="AD5" s="376" t="e">
        <f t="shared" ref="AD5:AD68" ca="1" si="26">IF(ABS(t-ROUND(t,0))&lt;0.001,pos_x,NA())</f>
        <v>#N/A</v>
      </c>
      <c r="AE5" s="377">
        <f t="shared" ca="1" si="5"/>
        <v>3.6937359344706394E-4</v>
      </c>
      <c r="AF5" s="344"/>
      <c r="AG5" s="359">
        <f t="shared" ref="AG5:AG68" ca="1" si="27">IF(AND(L4&lt;L_rampe,Poussee&lt;Poids*SIN(M4)),0,(-W4+Poussee)/m-Poids*SIN(M4)/m)</f>
        <v>7.5014097068241821</v>
      </c>
      <c r="AH5" s="357">
        <f t="shared" ref="AH5:AH68" ca="1" si="28">IF(AND(L4&lt;L_rampe,Poussee&lt;Poids*SIN(M4)), g*SIN(M4), (-W4+Poussee)/m)</f>
        <v>17.162373763873944</v>
      </c>
    </row>
    <row r="6" spans="1:248" x14ac:dyDescent="0.25">
      <c r="A6" s="402">
        <f t="shared" ca="1" si="6"/>
        <v>0.01</v>
      </c>
      <c r="B6" s="357">
        <f t="shared" ca="1" si="7"/>
        <v>0.02</v>
      </c>
      <c r="C6" s="342"/>
      <c r="D6" s="359">
        <f t="shared" ca="1" si="8"/>
        <v>4.5902628898199804</v>
      </c>
      <c r="E6" s="360">
        <f t="shared" ca="1" si="9"/>
        <v>26.034448332543647</v>
      </c>
      <c r="F6" s="357">
        <f t="shared" ca="1" si="10"/>
        <v>26.436017350908649</v>
      </c>
      <c r="G6" s="359">
        <f t="shared" ca="1" si="11"/>
        <v>5.8927247881822728E-2</v>
      </c>
      <c r="H6" s="360">
        <f t="shared" ca="1" si="12"/>
        <v>0.33421920201484923</v>
      </c>
      <c r="I6" s="357">
        <f t="shared" ca="1" si="13"/>
        <v>0.33937427058981412</v>
      </c>
      <c r="J6" s="359">
        <f t="shared" ca="1" si="14"/>
        <v>4.2488242924534284E-4</v>
      </c>
      <c r="K6" s="360">
        <f t="shared" ca="1" si="15"/>
        <v>2.409843196968374E-3</v>
      </c>
      <c r="L6" s="357">
        <f t="shared" ca="1" si="0"/>
        <v>2.4470123237646715E-3</v>
      </c>
      <c r="M6" s="359">
        <f t="shared" ca="1" si="16"/>
        <v>1.3962634015954636</v>
      </c>
      <c r="N6" s="357">
        <f t="shared" ca="1" si="17"/>
        <v>80</v>
      </c>
      <c r="O6" s="343"/>
      <c r="P6" s="363">
        <f t="shared" ca="1" si="18"/>
        <v>2</v>
      </c>
      <c r="Q6" s="357">
        <f t="shared" ca="1" si="19"/>
        <v>451.48888888888888</v>
      </c>
      <c r="R6" s="359">
        <f t="shared" ca="1" si="20"/>
        <v>0.22616534987333983</v>
      </c>
      <c r="S6" s="360">
        <f t="shared" ca="1" si="21"/>
        <v>12.507662844937157</v>
      </c>
      <c r="T6" s="357">
        <f t="shared" ca="1" si="1"/>
        <v>122.70017250883352</v>
      </c>
      <c r="U6" s="364">
        <f t="shared" ca="1" si="2"/>
        <v>21.306661355576935</v>
      </c>
      <c r="V6" s="359">
        <f t="shared" ca="1" si="3"/>
        <v>1.224999704794244</v>
      </c>
      <c r="W6" s="357">
        <f t="shared" ca="1" si="4"/>
        <v>3.2217657015159491E-4</v>
      </c>
      <c r="X6" s="343"/>
      <c r="Y6" s="367" t="str">
        <f t="shared" ca="1" si="22"/>
        <v/>
      </c>
      <c r="Z6" s="368" t="str">
        <f t="shared" ca="1" si="23"/>
        <v/>
      </c>
      <c r="AA6" s="369" t="str">
        <f t="shared" ca="1" si="24"/>
        <v/>
      </c>
      <c r="AB6" s="344"/>
      <c r="AC6" s="363" t="e">
        <f t="shared" ca="1" si="25"/>
        <v>#N/A</v>
      </c>
      <c r="AD6" s="376" t="e">
        <f t="shared" ca="1" si="26"/>
        <v>#N/A</v>
      </c>
      <c r="AE6" s="377">
        <f t="shared" ca="1" si="5"/>
        <v>2.409843196968374E-3</v>
      </c>
      <c r="AF6" s="344"/>
      <c r="AG6" s="359">
        <f t="shared" ca="1" si="27"/>
        <v>26.436017349114117</v>
      </c>
      <c r="AH6" s="357">
        <f t="shared" ca="1" si="28"/>
        <v>36.096981406163877</v>
      </c>
    </row>
    <row r="7" spans="1:248" x14ac:dyDescent="0.25">
      <c r="A7" s="402">
        <f t="shared" ca="1" si="6"/>
        <v>0.01</v>
      </c>
      <c r="B7" s="357">
        <f t="shared" ca="1" si="7"/>
        <v>0.03</v>
      </c>
      <c r="C7" s="342"/>
      <c r="D7" s="359">
        <f t="shared" ca="1" si="8"/>
        <v>5.9549087038997524</v>
      </c>
      <c r="E7" s="360">
        <f t="shared" ca="1" si="9"/>
        <v>33.774125535114244</v>
      </c>
      <c r="F7" s="357">
        <f t="shared" ca="1" si="10"/>
        <v>34.295079724844456</v>
      </c>
      <c r="G7" s="359">
        <f t="shared" ca="1" si="11"/>
        <v>0.11847633492082026</v>
      </c>
      <c r="H7" s="360">
        <f t="shared" ca="1" si="12"/>
        <v>0.67196045736599164</v>
      </c>
      <c r="I7" s="357">
        <f t="shared" ca="1" si="13"/>
        <v>0.68232506783774471</v>
      </c>
      <c r="J7" s="359">
        <f t="shared" ca="1" si="14"/>
        <v>1.3119003432585578E-3</v>
      </c>
      <c r="K7" s="360">
        <f t="shared" ca="1" si="15"/>
        <v>7.440741493872579E-3</v>
      </c>
      <c r="L7" s="357">
        <f t="shared" ca="1" si="0"/>
        <v>7.5555090158955576E-3</v>
      </c>
      <c r="M7" s="359">
        <f t="shared" ca="1" si="16"/>
        <v>1.3962634015954636</v>
      </c>
      <c r="N7" s="357">
        <f t="shared" ca="1" si="17"/>
        <v>80</v>
      </c>
      <c r="O7" s="343"/>
      <c r="P7" s="363">
        <f t="shared" ca="1" si="18"/>
        <v>2</v>
      </c>
      <c r="Q7" s="357">
        <f t="shared" ca="1" si="19"/>
        <v>549.66666666666663</v>
      </c>
      <c r="R7" s="359">
        <f t="shared" ca="1" si="20"/>
        <v>0.27534576606374267</v>
      </c>
      <c r="S7" s="360">
        <f t="shared" ca="1" si="21"/>
        <v>12.50490938727652</v>
      </c>
      <c r="T7" s="357">
        <f t="shared" ca="1" si="1"/>
        <v>122.67316108918267</v>
      </c>
      <c r="U7" s="364">
        <f t="shared" ca="1" si="2"/>
        <v>21.301970871778366</v>
      </c>
      <c r="V7" s="359">
        <f t="shared" ca="1" si="3"/>
        <v>1.2249990885095063</v>
      </c>
      <c r="W7" s="357">
        <f t="shared" ca="1" si="4"/>
        <v>1.3023225554668484E-3</v>
      </c>
      <c r="X7" s="343"/>
      <c r="Y7" s="367" t="str">
        <f t="shared" ca="1" si="22"/>
        <v/>
      </c>
      <c r="Z7" s="368" t="str">
        <f t="shared" ca="1" si="23"/>
        <v/>
      </c>
      <c r="AA7" s="369" t="str">
        <f t="shared" ca="1" si="24"/>
        <v/>
      </c>
      <c r="AB7" s="344"/>
      <c r="AC7" s="363" t="e">
        <f t="shared" ca="1" si="25"/>
        <v>#N/A</v>
      </c>
      <c r="AD7" s="376" t="e">
        <f t="shared" ca="1" si="26"/>
        <v>#N/A</v>
      </c>
      <c r="AE7" s="377">
        <f t="shared" ca="1" si="5"/>
        <v>7.440741493872579E-3</v>
      </c>
      <c r="AF7" s="344"/>
      <c r="AG7" s="359">
        <f t="shared" ca="1" si="27"/>
        <v>34.29507972279324</v>
      </c>
      <c r="AH7" s="357">
        <f t="shared" ca="1" si="28"/>
        <v>43.956043779843</v>
      </c>
    </row>
    <row r="8" spans="1:248" x14ac:dyDescent="0.25">
      <c r="A8" s="402">
        <f t="shared" ca="1" si="6"/>
        <v>0.01</v>
      </c>
      <c r="B8" s="357">
        <f t="shared" ca="1" si="7"/>
        <v>0.04</v>
      </c>
      <c r="C8" s="342"/>
      <c r="D8" s="359">
        <f t="shared" ca="1" si="8"/>
        <v>7.320500219501243</v>
      </c>
      <c r="E8" s="360">
        <f t="shared" ca="1" si="9"/>
        <v>41.519166347821873</v>
      </c>
      <c r="F8" s="357">
        <f t="shared" ca="1" si="10"/>
        <v>42.159588442984379</v>
      </c>
      <c r="G8" s="359">
        <f t="shared" ca="1" si="11"/>
        <v>0.19168133711583268</v>
      </c>
      <c r="H8" s="360">
        <f t="shared" ca="1" si="12"/>
        <v>1.0871521208442103</v>
      </c>
      <c r="I8" s="357">
        <f t="shared" ca="1" si="13"/>
        <v>1.1039209522672255</v>
      </c>
      <c r="J8" s="359">
        <f t="shared" ca="1" si="14"/>
        <v>2.8626887034418225E-3</v>
      </c>
      <c r="K8" s="360">
        <f t="shared" ca="1" si="15"/>
        <v>1.623630438492359E-2</v>
      </c>
      <c r="L8" s="357">
        <f t="shared" ca="1" si="0"/>
        <v>1.6486739116414208E-2</v>
      </c>
      <c r="M8" s="359">
        <f t="shared" ca="1" si="16"/>
        <v>1.3962634015954636</v>
      </c>
      <c r="N8" s="357">
        <f t="shared" ca="1" si="17"/>
        <v>80</v>
      </c>
      <c r="O8" s="343"/>
      <c r="P8" s="363">
        <f t="shared" ca="1" si="18"/>
        <v>2</v>
      </c>
      <c r="Q8" s="357">
        <f t="shared" ca="1" si="19"/>
        <v>647.84444444444443</v>
      </c>
      <c r="R8" s="359">
        <f t="shared" ca="1" si="20"/>
        <v>0.32452618225414559</v>
      </c>
      <c r="S8" s="360">
        <f t="shared" ca="1" si="21"/>
        <v>12.501664125453978</v>
      </c>
      <c r="T8" s="357">
        <f t="shared" ca="1" si="1"/>
        <v>122.64132507070353</v>
      </c>
      <c r="U8" s="364">
        <f t="shared" ca="1" si="2"/>
        <v>21.296442605185295</v>
      </c>
      <c r="V8" s="359">
        <f t="shared" ca="1" si="3"/>
        <v>1.2249980110543275</v>
      </c>
      <c r="W8" s="357">
        <f t="shared" ca="1" si="4"/>
        <v>3.4088781586806222E-3</v>
      </c>
      <c r="X8" s="343"/>
      <c r="Y8" s="367" t="str">
        <f t="shared" ca="1" si="22"/>
        <v/>
      </c>
      <c r="Z8" s="368" t="str">
        <f t="shared" ca="1" si="23"/>
        <v/>
      </c>
      <c r="AA8" s="369" t="str">
        <f t="shared" ca="1" si="24"/>
        <v/>
      </c>
      <c r="AB8" s="344"/>
      <c r="AC8" s="363" t="e">
        <f t="shared" ca="1" si="25"/>
        <v>#N/A</v>
      </c>
      <c r="AD8" s="376" t="e">
        <f t="shared" ca="1" si="26"/>
        <v>#N/A</v>
      </c>
      <c r="AE8" s="377">
        <f t="shared" ca="1" si="5"/>
        <v>1.623630438492359E-2</v>
      </c>
      <c r="AF8" s="344"/>
      <c r="AG8" s="359">
        <f t="shared" ca="1" si="27"/>
        <v>42.159588440665303</v>
      </c>
      <c r="AH8" s="357">
        <f t="shared" ca="1" si="28"/>
        <v>51.820552497715063</v>
      </c>
    </row>
    <row r="9" spans="1:248" x14ac:dyDescent="0.25">
      <c r="A9" s="402">
        <f t="shared" ca="1" si="6"/>
        <v>0.01</v>
      </c>
      <c r="B9" s="357">
        <f t="shared" ca="1" si="7"/>
        <v>0.05</v>
      </c>
      <c r="C9" s="342"/>
      <c r="D9" s="359">
        <f t="shared" ca="1" si="8"/>
        <v>8.6871930950351413</v>
      </c>
      <c r="E9" s="360">
        <f t="shared" ca="1" si="9"/>
        <v>49.270453599216324</v>
      </c>
      <c r="F9" s="357">
        <f t="shared" ca="1" si="10"/>
        <v>50.030439951523064</v>
      </c>
      <c r="G9" s="359">
        <f t="shared" ca="1" si="11"/>
        <v>0.27855326806618408</v>
      </c>
      <c r="H9" s="360">
        <f t="shared" ca="1" si="12"/>
        <v>1.5798566568363737</v>
      </c>
      <c r="I9" s="357">
        <f t="shared" ca="1" si="13"/>
        <v>1.6042253517821474</v>
      </c>
      <c r="J9" s="359">
        <f t="shared" ca="1" si="14"/>
        <v>5.2138617293519063E-3</v>
      </c>
      <c r="K9" s="360">
        <f t="shared" ca="1" si="15"/>
        <v>2.9571348273326512E-2</v>
      </c>
      <c r="L9" s="357">
        <f t="shared" ca="1" si="0"/>
        <v>3.0027470636654886E-2</v>
      </c>
      <c r="M9" s="359">
        <f t="shared" ca="1" si="16"/>
        <v>1.3962634015954636</v>
      </c>
      <c r="N9" s="357">
        <f t="shared" ca="1" si="17"/>
        <v>80</v>
      </c>
      <c r="O9" s="343"/>
      <c r="P9" s="363">
        <f t="shared" ca="1" si="18"/>
        <v>2</v>
      </c>
      <c r="Q9" s="357">
        <f t="shared" ca="1" si="19"/>
        <v>746.02222222222224</v>
      </c>
      <c r="R9" s="359">
        <f t="shared" ca="1" si="20"/>
        <v>0.37370659844454851</v>
      </c>
      <c r="S9" s="360">
        <f t="shared" ca="1" si="21"/>
        <v>12.497927059469532</v>
      </c>
      <c r="T9" s="357">
        <f t="shared" ca="1" si="1"/>
        <v>122.60466445339611</v>
      </c>
      <c r="U9" s="364">
        <f t="shared" ca="1" si="2"/>
        <v>21.290076555797715</v>
      </c>
      <c r="V9" s="359">
        <f t="shared" ca="1" si="3"/>
        <v>1.2249963775151926</v>
      </c>
      <c r="W9" s="357">
        <f t="shared" ca="1" si="4"/>
        <v>7.1988926543172533E-3</v>
      </c>
      <c r="X9" s="343"/>
      <c r="Y9" s="367" t="str">
        <f t="shared" ca="1" si="22"/>
        <v/>
      </c>
      <c r="Z9" s="368" t="str">
        <f t="shared" ca="1" si="23"/>
        <v/>
      </c>
      <c r="AA9" s="369" t="str">
        <f t="shared" ca="1" si="24"/>
        <v/>
      </c>
      <c r="AB9" s="344"/>
      <c r="AC9" s="363" t="e">
        <f t="shared" ca="1" si="25"/>
        <v>#N/A</v>
      </c>
      <c r="AD9" s="376" t="e">
        <f t="shared" ca="1" si="26"/>
        <v>#N/A</v>
      </c>
      <c r="AE9" s="377">
        <f t="shared" ca="1" si="5"/>
        <v>2.9571348273326512E-2</v>
      </c>
      <c r="AF9" s="344"/>
      <c r="AG9" s="359">
        <f t="shared" ca="1" si="27"/>
        <v>50.030439948930088</v>
      </c>
      <c r="AH9" s="357">
        <f t="shared" ca="1" si="28"/>
        <v>59.691404005979848</v>
      </c>
    </row>
    <row r="10" spans="1:248" x14ac:dyDescent="0.25">
      <c r="A10" s="402">
        <f t="shared" ca="1" si="6"/>
        <v>0.01</v>
      </c>
      <c r="B10" s="357">
        <f t="shared" ca="1" si="7"/>
        <v>6.0000000000000005E-2</v>
      </c>
      <c r="C10" s="342"/>
      <c r="D10" s="359">
        <f t="shared" ca="1" si="8"/>
        <v>10.055141972679948</v>
      </c>
      <c r="E10" s="360">
        <f t="shared" ca="1" si="9"/>
        <v>57.028864354634166</v>
      </c>
      <c r="F10" s="357">
        <f t="shared" ca="1" si="10"/>
        <v>57.908524844534014</v>
      </c>
      <c r="G10" s="359">
        <f t="shared" ca="1" si="11"/>
        <v>0.37910468779298356</v>
      </c>
      <c r="H10" s="360">
        <f t="shared" ca="1" si="12"/>
        <v>2.1501453003827153</v>
      </c>
      <c r="I10" s="357">
        <f t="shared" ca="1" si="13"/>
        <v>2.183310600227208</v>
      </c>
      <c r="J10" s="359">
        <f t="shared" ca="1" si="14"/>
        <v>8.5021515086477449E-3</v>
      </c>
      <c r="K10" s="360">
        <f t="shared" ca="1" si="15"/>
        <v>4.8221358059421959E-2</v>
      </c>
      <c r="L10" s="357">
        <f t="shared" ca="1" si="0"/>
        <v>4.8965150396695203E-2</v>
      </c>
      <c r="M10" s="359">
        <f t="shared" ca="1" si="16"/>
        <v>1.3962634015954636</v>
      </c>
      <c r="N10" s="357">
        <f t="shared" ca="1" si="17"/>
        <v>80</v>
      </c>
      <c r="O10" s="343"/>
      <c r="P10" s="363">
        <f t="shared" ca="1" si="18"/>
        <v>2</v>
      </c>
      <c r="Q10" s="357">
        <f t="shared" ca="1" si="19"/>
        <v>844.2</v>
      </c>
      <c r="R10" s="359">
        <f t="shared" ca="1" si="20"/>
        <v>0.42288701463495137</v>
      </c>
      <c r="S10" s="360">
        <f t="shared" ca="1" si="21"/>
        <v>12.493698189323183</v>
      </c>
      <c r="T10" s="357">
        <f t="shared" ca="1" si="1"/>
        <v>122.56317923726043</v>
      </c>
      <c r="U10" s="364">
        <f t="shared" ca="1" si="2"/>
        <v>21.282872723615636</v>
      </c>
      <c r="V10" s="359">
        <f t="shared" ca="1" si="3"/>
        <v>1.2249940928978804</v>
      </c>
      <c r="W10" s="357">
        <f t="shared" ca="1" si="4"/>
        <v>1.3334145317448136E-2</v>
      </c>
      <c r="X10" s="343"/>
      <c r="Y10" s="367" t="str">
        <f t="shared" ca="1" si="22"/>
        <v/>
      </c>
      <c r="Z10" s="368" t="str">
        <f t="shared" ca="1" si="23"/>
        <v/>
      </c>
      <c r="AA10" s="369" t="str">
        <f t="shared" ca="1" si="24"/>
        <v/>
      </c>
      <c r="AB10" s="344"/>
      <c r="AC10" s="363" t="e">
        <f t="shared" ca="1" si="25"/>
        <v>#N/A</v>
      </c>
      <c r="AD10" s="376" t="e">
        <f t="shared" ca="1" si="26"/>
        <v>#N/A</v>
      </c>
      <c r="AE10" s="377">
        <f t="shared" ca="1" si="5"/>
        <v>4.8221358059421959E-2</v>
      </c>
      <c r="AF10" s="344"/>
      <c r="AG10" s="359">
        <f t="shared" ca="1" si="27"/>
        <v>57.908524841663414</v>
      </c>
      <c r="AH10" s="357">
        <f t="shared" ca="1" si="28"/>
        <v>67.569488898713175</v>
      </c>
    </row>
    <row r="11" spans="1:248" x14ac:dyDescent="0.25">
      <c r="A11" s="402">
        <f t="shared" ca="1" si="6"/>
        <v>0.01</v>
      </c>
      <c r="B11" s="357">
        <f t="shared" ca="1" si="7"/>
        <v>7.0000000000000007E-2</v>
      </c>
      <c r="C11" s="342"/>
      <c r="D11" s="359">
        <f t="shared" ca="1" si="8"/>
        <v>11.424500532470388</v>
      </c>
      <c r="E11" s="360">
        <f t="shared" ca="1" si="9"/>
        <v>64.795270222967645</v>
      </c>
      <c r="F11" s="357">
        <f t="shared" ca="1" si="10"/>
        <v>65.794728175468691</v>
      </c>
      <c r="G11" s="359">
        <f t="shared" ca="1" si="11"/>
        <v>0.49334969311768745</v>
      </c>
      <c r="H11" s="360">
        <f t="shared" ca="1" si="12"/>
        <v>2.7980980026123916</v>
      </c>
      <c r="I11" s="357">
        <f t="shared" ca="1" si="13"/>
        <v>2.8412578819816359</v>
      </c>
      <c r="J11" s="359">
        <f t="shared" ca="1" si="14"/>
        <v>1.2864423413201102E-2</v>
      </c>
      <c r="K11" s="360">
        <f t="shared" ca="1" si="15"/>
        <v>7.296257457439749E-2</v>
      </c>
      <c r="L11" s="357">
        <f t="shared" ca="1" si="0"/>
        <v>7.4087992807732567E-2</v>
      </c>
      <c r="M11" s="359">
        <f t="shared" ca="1" si="16"/>
        <v>1.3962634015954636</v>
      </c>
      <c r="N11" s="357">
        <f t="shared" ca="1" si="17"/>
        <v>80</v>
      </c>
      <c r="O11" s="343"/>
      <c r="P11" s="363">
        <f t="shared" ca="1" si="18"/>
        <v>2</v>
      </c>
      <c r="Q11" s="357">
        <f t="shared" ca="1" si="19"/>
        <v>942.37777777777774</v>
      </c>
      <c r="R11" s="359">
        <f t="shared" ca="1" si="20"/>
        <v>0.47206743082535424</v>
      </c>
      <c r="S11" s="360">
        <f t="shared" ca="1" si="21"/>
        <v>12.488977515014929</v>
      </c>
      <c r="T11" s="357">
        <f t="shared" ca="1" si="1"/>
        <v>122.51686942229645</v>
      </c>
      <c r="U11" s="364">
        <f t="shared" ca="1" si="2"/>
        <v>21.274831108639049</v>
      </c>
      <c r="V11" s="359">
        <f t="shared" ca="1" si="3"/>
        <v>1.2249910621172213</v>
      </c>
      <c r="W11" s="357">
        <f t="shared" ca="1" si="4"/>
        <v>2.2581582293333586E-2</v>
      </c>
      <c r="X11" s="343"/>
      <c r="Y11" s="367" t="str">
        <f t="shared" ca="1" si="22"/>
        <v/>
      </c>
      <c r="Z11" s="368" t="str">
        <f t="shared" ca="1" si="23"/>
        <v/>
      </c>
      <c r="AA11" s="369" t="str">
        <f t="shared" ca="1" si="24"/>
        <v/>
      </c>
      <c r="AB11" s="344"/>
      <c r="AC11" s="363" t="e">
        <f t="shared" ca="1" si="25"/>
        <v>#N/A</v>
      </c>
      <c r="AD11" s="376" t="e">
        <f t="shared" ca="1" si="26"/>
        <v>#N/A</v>
      </c>
      <c r="AE11" s="377">
        <f t="shared" ca="1" si="5"/>
        <v>7.296257457439749E-2</v>
      </c>
      <c r="AF11" s="344"/>
      <c r="AG11" s="359">
        <f t="shared" ca="1" si="27"/>
        <v>65.794728172317974</v>
      </c>
      <c r="AH11" s="357">
        <f t="shared" ca="1" si="28"/>
        <v>75.455692229367727</v>
      </c>
    </row>
    <row r="12" spans="1:248" x14ac:dyDescent="0.25">
      <c r="A12" s="402">
        <f t="shared" ca="1" si="6"/>
        <v>0.01</v>
      </c>
      <c r="B12" s="357">
        <f t="shared" ca="1" si="7"/>
        <v>0.08</v>
      </c>
      <c r="C12" s="342"/>
      <c r="D12" s="359">
        <f t="shared" ca="1" si="8"/>
        <v>12.795421545133999</v>
      </c>
      <c r="E12" s="360">
        <f t="shared" ca="1" si="9"/>
        <v>72.570537656334267</v>
      </c>
      <c r="F12" s="357">
        <f t="shared" ca="1" si="10"/>
        <v>73.6899297614478</v>
      </c>
      <c r="G12" s="359">
        <f t="shared" ca="1" si="11"/>
        <v>0.62130390856902751</v>
      </c>
      <c r="H12" s="360">
        <f t="shared" ca="1" si="12"/>
        <v>3.5238033791757344</v>
      </c>
      <c r="I12" s="357">
        <f t="shared" ca="1" si="13"/>
        <v>3.5781571795958702</v>
      </c>
      <c r="J12" s="359">
        <f t="shared" ca="1" si="14"/>
        <v>1.8437691421634678E-2</v>
      </c>
      <c r="K12" s="360">
        <f t="shared" ca="1" si="15"/>
        <v>0.10457208148333813</v>
      </c>
      <c r="L12" s="357">
        <f t="shared" ca="1" si="0"/>
        <v>0.1061850681156128</v>
      </c>
      <c r="M12" s="359">
        <f t="shared" ca="1" si="16"/>
        <v>1.3962634015954636</v>
      </c>
      <c r="N12" s="357">
        <f t="shared" ca="1" si="17"/>
        <v>80</v>
      </c>
      <c r="O12" s="343"/>
      <c r="P12" s="363">
        <f t="shared" ca="1" si="18"/>
        <v>2</v>
      </c>
      <c r="Q12" s="357">
        <f t="shared" ca="1" si="19"/>
        <v>1040.5555555555557</v>
      </c>
      <c r="R12" s="359">
        <f t="shared" ca="1" si="20"/>
        <v>0.52124784701575722</v>
      </c>
      <c r="S12" s="360">
        <f t="shared" ca="1" si="21"/>
        <v>12.483765036544771</v>
      </c>
      <c r="T12" s="357">
        <f t="shared" ca="1" si="1"/>
        <v>122.46573500850421</v>
      </c>
      <c r="U12" s="364">
        <f t="shared" ca="1" si="2"/>
        <v>21.265951710867959</v>
      </c>
      <c r="V12" s="359">
        <f t="shared" ca="1" si="3"/>
        <v>1.2249871899869968</v>
      </c>
      <c r="W12" s="357">
        <f t="shared" ca="1" si="4"/>
        <v>3.5813809414140536E-2</v>
      </c>
      <c r="X12" s="343"/>
      <c r="Y12" s="367" t="str">
        <f t="shared" ca="1" si="22"/>
        <v/>
      </c>
      <c r="Z12" s="368" t="str">
        <f t="shared" ca="1" si="23"/>
        <v/>
      </c>
      <c r="AA12" s="369" t="str">
        <f t="shared" ca="1" si="24"/>
        <v/>
      </c>
      <c r="AB12" s="344"/>
      <c r="AC12" s="363" t="e">
        <f t="shared" ca="1" si="25"/>
        <v>#N/A</v>
      </c>
      <c r="AD12" s="376" t="e">
        <f t="shared" ca="1" si="26"/>
        <v>#N/A</v>
      </c>
      <c r="AE12" s="377">
        <f t="shared" ca="1" si="5"/>
        <v>0.10457208148333813</v>
      </c>
      <c r="AF12" s="344"/>
      <c r="AG12" s="359">
        <f t="shared" ca="1" si="27"/>
        <v>73.689929758015083</v>
      </c>
      <c r="AH12" s="357">
        <f t="shared" ca="1" si="28"/>
        <v>83.35089381506485</v>
      </c>
    </row>
    <row r="13" spans="1:248" x14ac:dyDescent="0.25">
      <c r="A13" s="402">
        <f t="shared" ca="1" si="6"/>
        <v>0.01</v>
      </c>
      <c r="B13" s="357">
        <f t="shared" ca="1" si="7"/>
        <v>0.09</v>
      </c>
      <c r="C13" s="342"/>
      <c r="D13" s="359">
        <f t="shared" ca="1" si="8"/>
        <v>14.168056923725185</v>
      </c>
      <c r="E13" s="360">
        <f t="shared" ca="1" si="9"/>
        <v>80.355528242926624</v>
      </c>
      <c r="F13" s="357">
        <f t="shared" ca="1" si="10"/>
        <v>81.595004480627949</v>
      </c>
      <c r="G13" s="359">
        <f t="shared" ca="1" si="11"/>
        <v>0.76298447780627932</v>
      </c>
      <c r="H13" s="360">
        <f t="shared" ca="1" si="12"/>
        <v>4.3273586616050004</v>
      </c>
      <c r="I13" s="357">
        <f t="shared" ca="1" si="13"/>
        <v>4.3941072244019193</v>
      </c>
      <c r="J13" s="359">
        <f t="shared" ca="1" si="14"/>
        <v>2.5359133353511212E-2</v>
      </c>
      <c r="K13" s="360">
        <f t="shared" ca="1" si="15"/>
        <v>0.1438278916872418</v>
      </c>
      <c r="L13" s="357">
        <f t="shared" ca="1" si="0"/>
        <v>0.14604639013559401</v>
      </c>
      <c r="M13" s="359">
        <f t="shared" ca="1" si="16"/>
        <v>1.3962634015954636</v>
      </c>
      <c r="N13" s="357">
        <f t="shared" ca="1" si="17"/>
        <v>80</v>
      </c>
      <c r="O13" s="343"/>
      <c r="P13" s="363">
        <f t="shared" ca="1" si="18"/>
        <v>2</v>
      </c>
      <c r="Q13" s="357">
        <f t="shared" ca="1" si="19"/>
        <v>1138.7333333333331</v>
      </c>
      <c r="R13" s="359">
        <f t="shared" ca="1" si="20"/>
        <v>0.57042826320615991</v>
      </c>
      <c r="S13" s="360">
        <f t="shared" ca="1" si="21"/>
        <v>12.478060753912709</v>
      </c>
      <c r="T13" s="357">
        <f t="shared" ca="1" si="1"/>
        <v>122.40977599588368</v>
      </c>
      <c r="U13" s="364">
        <f t="shared" ca="1" si="2"/>
        <v>21.256234530302361</v>
      </c>
      <c r="V13" s="359">
        <f t="shared" ca="1" si="3"/>
        <v>1.224982381209972</v>
      </c>
      <c r="W13" s="357">
        <f t="shared" ca="1" si="4"/>
        <v>5.4009640389531308E-2</v>
      </c>
      <c r="X13" s="343"/>
      <c r="Y13" s="367" t="str">
        <f t="shared" ca="1" si="22"/>
        <v/>
      </c>
      <c r="Z13" s="368" t="str">
        <f t="shared" ca="1" si="23"/>
        <v/>
      </c>
      <c r="AA13" s="369" t="str">
        <f t="shared" ca="1" si="24"/>
        <v/>
      </c>
      <c r="AB13" s="344"/>
      <c r="AC13" s="363" t="e">
        <f t="shared" ca="1" si="25"/>
        <v>#N/A</v>
      </c>
      <c r="AD13" s="376" t="e">
        <f t="shared" ca="1" si="26"/>
        <v>#N/A</v>
      </c>
      <c r="AE13" s="377">
        <f t="shared" ca="1" si="5"/>
        <v>0.1438278916872418</v>
      </c>
      <c r="AF13" s="344"/>
      <c r="AG13" s="359">
        <f t="shared" ca="1" si="27"/>
        <v>81.595004476911811</v>
      </c>
      <c r="AH13" s="357">
        <f t="shared" ca="1" si="28"/>
        <v>91.255968533961578</v>
      </c>
    </row>
    <row r="14" spans="1:248" x14ac:dyDescent="0.25">
      <c r="A14" s="402">
        <f t="shared" ca="1" si="6"/>
        <v>0.01</v>
      </c>
      <c r="B14" s="357">
        <f t="shared" ca="1" si="7"/>
        <v>9.9999999999999992E-2</v>
      </c>
      <c r="C14" s="342"/>
      <c r="D14" s="359">
        <f t="shared" ca="1" si="8"/>
        <v>15.542557774104434</v>
      </c>
      <c r="E14" s="360">
        <f t="shared" ca="1" si="9"/>
        <v>88.151098993312971</v>
      </c>
      <c r="F14" s="357">
        <f t="shared" ca="1" si="10"/>
        <v>89.510822562918264</v>
      </c>
      <c r="G14" s="359">
        <f t="shared" ca="1" si="11"/>
        <v>0.91841005554732369</v>
      </c>
      <c r="H14" s="360">
        <f t="shared" ca="1" si="12"/>
        <v>5.2088696515381301</v>
      </c>
      <c r="I14" s="357">
        <f t="shared" ca="1" si="13"/>
        <v>5.2892154500308832</v>
      </c>
      <c r="J14" s="359">
        <f t="shared" ca="1" si="14"/>
        <v>3.3766106020279227E-2</v>
      </c>
      <c r="K14" s="360">
        <f t="shared" ca="1" si="15"/>
        <v>0.19150903325295746</v>
      </c>
      <c r="L14" s="357">
        <f t="shared" ca="1" si="0"/>
        <v>0.19446300350774978</v>
      </c>
      <c r="M14" s="359">
        <f t="shared" ca="1" si="16"/>
        <v>1.3962634015954636</v>
      </c>
      <c r="N14" s="357">
        <f t="shared" ca="1" si="17"/>
        <v>80</v>
      </c>
      <c r="O14" s="343"/>
      <c r="P14" s="363">
        <f t="shared" ca="1" si="18"/>
        <v>2</v>
      </c>
      <c r="Q14" s="357">
        <f t="shared" ca="1" si="19"/>
        <v>1236.911111111111</v>
      </c>
      <c r="R14" s="359">
        <f t="shared" ca="1" si="20"/>
        <v>0.61960867939656283</v>
      </c>
      <c r="S14" s="360">
        <f t="shared" ca="1" si="21"/>
        <v>12.471864667118744</v>
      </c>
      <c r="T14" s="357">
        <f t="shared" ca="1" si="1"/>
        <v>122.34899238443489</v>
      </c>
      <c r="U14" s="364">
        <f t="shared" ca="1" si="2"/>
        <v>21.245679566942268</v>
      </c>
      <c r="V14" s="359">
        <f t="shared" ca="1" si="3"/>
        <v>1.2249765403680635</v>
      </c>
      <c r="W14" s="357">
        <f t="shared" ca="1" si="4"/>
        <v>7.8254699842362857E-2</v>
      </c>
      <c r="X14" s="343"/>
      <c r="Y14" s="367" t="str">
        <f t="shared" ca="1" si="22"/>
        <v/>
      </c>
      <c r="Z14" s="368" t="str">
        <f t="shared" ca="1" si="23"/>
        <v/>
      </c>
      <c r="AA14" s="369" t="str">
        <f t="shared" ca="1" si="24"/>
        <v/>
      </c>
      <c r="AB14" s="344"/>
      <c r="AC14" s="363" t="e">
        <f t="shared" ca="1" si="25"/>
        <v>#N/A</v>
      </c>
      <c r="AD14" s="376" t="e">
        <f t="shared" ca="1" si="26"/>
        <v>#N/A</v>
      </c>
      <c r="AE14" s="377">
        <f t="shared" ca="1" si="5"/>
        <v>0.19150903325295746</v>
      </c>
      <c r="AF14" s="344"/>
      <c r="AG14" s="359">
        <f t="shared" ca="1" si="27"/>
        <v>89.510822558917482</v>
      </c>
      <c r="AH14" s="357">
        <f t="shared" ca="1" si="28"/>
        <v>99.17178661596725</v>
      </c>
    </row>
    <row r="15" spans="1:248" x14ac:dyDescent="0.25">
      <c r="A15" s="402">
        <f t="shared" ca="1" si="6"/>
        <v>0.01</v>
      </c>
      <c r="B15" s="357">
        <f t="shared" ca="1" si="7"/>
        <v>0.10999999999999999</v>
      </c>
      <c r="C15" s="342"/>
      <c r="D15" s="359">
        <f t="shared" ca="1" si="8"/>
        <v>16.133871084671814</v>
      </c>
      <c r="E15" s="360">
        <f t="shared" ca="1" si="9"/>
        <v>91.50477086335502</v>
      </c>
      <c r="F15" s="357">
        <f t="shared" ca="1" si="10"/>
        <v>92.916225100527598</v>
      </c>
      <c r="G15" s="359">
        <f t="shared" ca="1" si="11"/>
        <v>1.0797487663940419</v>
      </c>
      <c r="H15" s="360">
        <f t="shared" ca="1" si="12"/>
        <v>6.1239173601716805</v>
      </c>
      <c r="I15" s="357">
        <f t="shared" ca="1" si="13"/>
        <v>6.2183777010359815</v>
      </c>
      <c r="J15" s="359">
        <f t="shared" ca="1" si="14"/>
        <v>4.3756900129986058E-2</v>
      </c>
      <c r="K15" s="360">
        <f t="shared" ca="1" si="15"/>
        <v>0.24817296831150651</v>
      </c>
      <c r="L15" s="357">
        <f t="shared" ca="1" si="0"/>
        <v>0.25200096926307564</v>
      </c>
      <c r="M15" s="359">
        <f t="shared" ca="1" si="16"/>
        <v>1.3962634015954636</v>
      </c>
      <c r="N15" s="357">
        <f t="shared" ca="1" si="17"/>
        <v>80</v>
      </c>
      <c r="O15" s="343"/>
      <c r="P15" s="363">
        <f t="shared" ca="1" si="18"/>
        <v>3</v>
      </c>
      <c r="Q15" s="357">
        <f t="shared" ca="1" si="19"/>
        <v>1278.75</v>
      </c>
      <c r="R15" s="359">
        <f t="shared" ca="1" si="20"/>
        <v>0.64056712860038389</v>
      </c>
      <c r="S15" s="360">
        <f t="shared" ca="1" si="21"/>
        <v>12.465458995832741</v>
      </c>
      <c r="T15" s="357">
        <f t="shared" ca="1" si="1"/>
        <v>122.2861527491192</v>
      </c>
      <c r="U15" s="364">
        <f t="shared" ca="1" si="2"/>
        <v>21.234767578784442</v>
      </c>
      <c r="V15" s="359">
        <f t="shared" ca="1" si="3"/>
        <v>1.2249695991886147</v>
      </c>
      <c r="W15" s="357">
        <f t="shared" ca="1" si="4"/>
        <v>0.10816323005619081</v>
      </c>
      <c r="X15" s="343"/>
      <c r="Y15" s="367" t="str">
        <f t="shared" ca="1" si="22"/>
        <v/>
      </c>
      <c r="Z15" s="368" t="str">
        <f t="shared" ca="1" si="23"/>
        <v/>
      </c>
      <c r="AA15" s="369" t="str">
        <f t="shared" ca="1" si="24"/>
        <v/>
      </c>
      <c r="AB15" s="344"/>
      <c r="AC15" s="363" t="e">
        <f t="shared" ca="1" si="25"/>
        <v>#N/A</v>
      </c>
      <c r="AD15" s="376" t="e">
        <f t="shared" ca="1" si="26"/>
        <v>#N/A</v>
      </c>
      <c r="AE15" s="377">
        <f t="shared" ca="1" si="5"/>
        <v>0.24817296831150651</v>
      </c>
      <c r="AF15" s="344"/>
      <c r="AG15" s="359">
        <f t="shared" ca="1" si="27"/>
        <v>92.916225096404062</v>
      </c>
      <c r="AH15" s="357">
        <f t="shared" ca="1" si="28"/>
        <v>102.57718915345383</v>
      </c>
    </row>
    <row r="16" spans="1:248" x14ac:dyDescent="0.25">
      <c r="A16" s="402">
        <f t="shared" ca="1" si="6"/>
        <v>0.01</v>
      </c>
      <c r="B16" s="357">
        <f t="shared" ca="1" si="7"/>
        <v>0.11999999999999998</v>
      </c>
      <c r="C16" s="342"/>
      <c r="D16" s="359">
        <f t="shared" ca="1" si="8"/>
        <v>15.940424967580817</v>
      </c>
      <c r="E16" s="360">
        <f t="shared" ca="1" si="9"/>
        <v>90.407628787739924</v>
      </c>
      <c r="F16" s="357">
        <f t="shared" ca="1" si="10"/>
        <v>91.802159512556429</v>
      </c>
      <c r="G16" s="359">
        <f t="shared" ca="1" si="11"/>
        <v>1.2391530160698501</v>
      </c>
      <c r="H16" s="360">
        <f t="shared" ca="1" si="12"/>
        <v>7.0279936480490797</v>
      </c>
      <c r="I16" s="357">
        <f t="shared" ca="1" si="13"/>
        <v>7.1363992961614207</v>
      </c>
      <c r="J16" s="359">
        <f t="shared" ca="1" si="14"/>
        <v>5.5351409042305517E-2</v>
      </c>
      <c r="K16" s="360">
        <f t="shared" ca="1" si="15"/>
        <v>0.31393252335261035</v>
      </c>
      <c r="L16" s="357">
        <f t="shared" ca="1" si="0"/>
        <v>0.31877485424905438</v>
      </c>
      <c r="M16" s="359">
        <f t="shared" ca="1" si="16"/>
        <v>1.3962634015954636</v>
      </c>
      <c r="N16" s="357">
        <f t="shared" ca="1" si="17"/>
        <v>80</v>
      </c>
      <c r="O16" s="343"/>
      <c r="P16" s="363">
        <f t="shared" ca="1" si="18"/>
        <v>3</v>
      </c>
      <c r="Q16" s="357">
        <f t="shared" ca="1" si="19"/>
        <v>1264.25</v>
      </c>
      <c r="R16" s="359">
        <f t="shared" ca="1" si="20"/>
        <v>0.63330361081762288</v>
      </c>
      <c r="S16" s="360">
        <f t="shared" ca="1" si="21"/>
        <v>12.459125959724565</v>
      </c>
      <c r="T16" s="357">
        <f t="shared" ca="1" si="1"/>
        <v>122.22402566489799</v>
      </c>
      <c r="U16" s="364">
        <f t="shared" ca="1" si="2"/>
        <v>21.22397932382567</v>
      </c>
      <c r="V16" s="359">
        <f t="shared" ca="1" si="3"/>
        <v>1.2249615438695209</v>
      </c>
      <c r="W16" s="357">
        <f t="shared" ca="1" si="4"/>
        <v>0.14245604435197168</v>
      </c>
      <c r="X16" s="343"/>
      <c r="Y16" s="367" t="str">
        <f t="shared" ca="1" si="22"/>
        <v/>
      </c>
      <c r="Z16" s="368" t="str">
        <f t="shared" ca="1" si="23"/>
        <v/>
      </c>
      <c r="AA16" s="369" t="str">
        <f t="shared" ca="1" si="24"/>
        <v/>
      </c>
      <c r="AB16" s="344"/>
      <c r="AC16" s="363" t="e">
        <f t="shared" ca="1" si="25"/>
        <v>#N/A</v>
      </c>
      <c r="AD16" s="376" t="e">
        <f t="shared" ca="1" si="26"/>
        <v>#N/A</v>
      </c>
      <c r="AE16" s="377">
        <f t="shared" ca="1" si="5"/>
        <v>0.31393252335261035</v>
      </c>
      <c r="AF16" s="344"/>
      <c r="AG16" s="359">
        <f t="shared" ca="1" si="27"/>
        <v>91.802159508472826</v>
      </c>
      <c r="AH16" s="357">
        <f t="shared" ca="1" si="28"/>
        <v>101.46312356552259</v>
      </c>
    </row>
    <row r="17" spans="1:34" x14ac:dyDescent="0.25">
      <c r="A17" s="402">
        <f t="shared" ca="1" si="6"/>
        <v>0.01</v>
      </c>
      <c r="B17" s="357">
        <f t="shared" ca="1" si="7"/>
        <v>0.12999999999999998</v>
      </c>
      <c r="C17" s="342"/>
      <c r="D17" s="359">
        <f t="shared" ca="1" si="8"/>
        <v>15.740640421516515</v>
      </c>
      <c r="E17" s="360">
        <f t="shared" ca="1" si="9"/>
        <v>89.274537918716121</v>
      </c>
      <c r="F17" s="357">
        <f t="shared" ca="1" si="10"/>
        <v>90.651590617483166</v>
      </c>
      <c r="G17" s="359">
        <f t="shared" ca="1" si="11"/>
        <v>1.3965594202850151</v>
      </c>
      <c r="H17" s="360">
        <f t="shared" ca="1" si="12"/>
        <v>7.920739027236241</v>
      </c>
      <c r="I17" s="357">
        <f t="shared" ca="1" si="13"/>
        <v>8.042915202336161</v>
      </c>
      <c r="J17" s="359">
        <f t="shared" ca="1" si="14"/>
        <v>6.8529971224079847E-2</v>
      </c>
      <c r="K17" s="360">
        <f t="shared" ca="1" si="15"/>
        <v>0.38867618672903692</v>
      </c>
      <c r="L17" s="357">
        <f t="shared" ca="1" si="0"/>
        <v>0.39467142674153444</v>
      </c>
      <c r="M17" s="359">
        <f t="shared" ca="1" si="16"/>
        <v>1.3962634015954636</v>
      </c>
      <c r="N17" s="357">
        <f t="shared" ca="1" si="17"/>
        <v>80</v>
      </c>
      <c r="O17" s="343"/>
      <c r="P17" s="363">
        <f t="shared" ca="1" si="18"/>
        <v>4</v>
      </c>
      <c r="Q17" s="357">
        <f t="shared" ca="1" si="19"/>
        <v>1249.3214285714287</v>
      </c>
      <c r="R17" s="359">
        <f t="shared" ca="1" si="20"/>
        <v>0.62582540778019913</v>
      </c>
      <c r="S17" s="360">
        <f t="shared" ca="1" si="21"/>
        <v>12.452867705646764</v>
      </c>
      <c r="T17" s="357">
        <f t="shared" ca="1" si="1"/>
        <v>122.16263219239475</v>
      </c>
      <c r="U17" s="364">
        <f t="shared" ca="1" si="2"/>
        <v>21.213318459204839</v>
      </c>
      <c r="V17" s="359">
        <f t="shared" ca="1" si="3"/>
        <v>1.2249523880924065</v>
      </c>
      <c r="W17" s="357">
        <f t="shared" ca="1" si="4"/>
        <v>0.18094489346973597</v>
      </c>
      <c r="X17" s="343"/>
      <c r="Y17" s="367" t="str">
        <f t="shared" ca="1" si="22"/>
        <v/>
      </c>
      <c r="Z17" s="368" t="str">
        <f t="shared" ca="1" si="23"/>
        <v/>
      </c>
      <c r="AA17" s="369" t="str">
        <f t="shared" ca="1" si="24"/>
        <v/>
      </c>
      <c r="AB17" s="344"/>
      <c r="AC17" s="363" t="e">
        <f t="shared" ca="1" si="25"/>
        <v>#N/A</v>
      </c>
      <c r="AD17" s="376" t="e">
        <f t="shared" ca="1" si="26"/>
        <v>#N/A</v>
      </c>
      <c r="AE17" s="377">
        <f t="shared" ca="1" si="5"/>
        <v>0.38867618672903692</v>
      </c>
      <c r="AF17" s="344"/>
      <c r="AG17" s="359">
        <f t="shared" ca="1" si="27"/>
        <v>90.65159061344076</v>
      </c>
      <c r="AH17" s="357">
        <f t="shared" ca="1" si="28"/>
        <v>100.31255467049051</v>
      </c>
    </row>
    <row r="18" spans="1:34" x14ac:dyDescent="0.25">
      <c r="A18" s="402">
        <f t="shared" ca="1" si="6"/>
        <v>0.01</v>
      </c>
      <c r="B18" s="357">
        <f t="shared" ca="1" si="7"/>
        <v>0.13999999999999999</v>
      </c>
      <c r="C18" s="342"/>
      <c r="D18" s="359">
        <f t="shared" ca="1" si="8"/>
        <v>15.534511144048794</v>
      </c>
      <c r="E18" s="360">
        <f t="shared" ca="1" si="9"/>
        <v>88.105462510923005</v>
      </c>
      <c r="F18" s="357">
        <f t="shared" ca="1" si="10"/>
        <v>89.464482118594049</v>
      </c>
      <c r="G18" s="359">
        <f t="shared" ca="1" si="11"/>
        <v>1.5519045317255031</v>
      </c>
      <c r="H18" s="360">
        <f t="shared" ca="1" si="12"/>
        <v>8.8017936523454718</v>
      </c>
      <c r="I18" s="357">
        <f t="shared" ca="1" si="13"/>
        <v>8.9375600235220354</v>
      </c>
      <c r="J18" s="359">
        <f t="shared" ca="1" si="14"/>
        <v>8.3272290984132441E-2</v>
      </c>
      <c r="K18" s="360">
        <f t="shared" ca="1" si="15"/>
        <v>0.47228885012694549</v>
      </c>
      <c r="L18" s="357">
        <f t="shared" ca="1" si="0"/>
        <v>0.47957380287081819</v>
      </c>
      <c r="M18" s="359">
        <f t="shared" ca="1" si="16"/>
        <v>1.3962634015954636</v>
      </c>
      <c r="N18" s="357">
        <f t="shared" ca="1" si="17"/>
        <v>80</v>
      </c>
      <c r="O18" s="343"/>
      <c r="P18" s="363">
        <f t="shared" ca="1" si="18"/>
        <v>4</v>
      </c>
      <c r="Q18" s="357">
        <f t="shared" ca="1" si="19"/>
        <v>1233.9642857142858</v>
      </c>
      <c r="R18" s="359">
        <f t="shared" ca="1" si="20"/>
        <v>0.61813251948811243</v>
      </c>
      <c r="S18" s="360">
        <f t="shared" ca="1" si="21"/>
        <v>12.446686380451883</v>
      </c>
      <c r="T18" s="357">
        <f t="shared" ca="1" si="1"/>
        <v>122.10199339223298</v>
      </c>
      <c r="U18" s="364">
        <f t="shared" ca="1" si="2"/>
        <v>21.202788642060838</v>
      </c>
      <c r="V18" s="359">
        <f t="shared" ca="1" si="3"/>
        <v>1.2249421459820498</v>
      </c>
      <c r="W18" s="357">
        <f t="shared" ca="1" si="4"/>
        <v>0.22343626505642877</v>
      </c>
      <c r="X18" s="343"/>
      <c r="Y18" s="367" t="str">
        <f t="shared" ca="1" si="22"/>
        <v/>
      </c>
      <c r="Z18" s="368" t="str">
        <f t="shared" ca="1" si="23"/>
        <v/>
      </c>
      <c r="AA18" s="369" t="str">
        <f t="shared" ca="1" si="24"/>
        <v/>
      </c>
      <c r="AB18" s="344"/>
      <c r="AC18" s="363" t="e">
        <f t="shared" ca="1" si="25"/>
        <v>#N/A</v>
      </c>
      <c r="AD18" s="376" t="e">
        <f t="shared" ca="1" si="26"/>
        <v>#N/A</v>
      </c>
      <c r="AE18" s="377">
        <f t="shared" ca="1" si="5"/>
        <v>0.47228885012694549</v>
      </c>
      <c r="AF18" s="344"/>
      <c r="AG18" s="359">
        <f t="shared" ca="1" si="27"/>
        <v>89.464482114594105</v>
      </c>
      <c r="AH18" s="357">
        <f t="shared" ca="1" si="28"/>
        <v>99.125446171643873</v>
      </c>
    </row>
    <row r="19" spans="1:34" x14ac:dyDescent="0.25">
      <c r="A19" s="402">
        <f t="shared" ca="1" si="6"/>
        <v>0.01</v>
      </c>
      <c r="B19" s="357">
        <f t="shared" ca="1" si="7"/>
        <v>0.15</v>
      </c>
      <c r="C19" s="342"/>
      <c r="D19" s="359">
        <f t="shared" ca="1" si="8"/>
        <v>15.328016000514976</v>
      </c>
      <c r="E19" s="360">
        <f t="shared" ca="1" si="9"/>
        <v>86.934312085974838</v>
      </c>
      <c r="F19" s="357">
        <f t="shared" ca="1" si="10"/>
        <v>88.275266594747322</v>
      </c>
      <c r="G19" s="359">
        <f t="shared" ca="1" si="11"/>
        <v>1.7051846917306528</v>
      </c>
      <c r="H19" s="360">
        <f t="shared" ca="1" si="12"/>
        <v>9.6711367732052196</v>
      </c>
      <c r="I19" s="357">
        <f t="shared" ca="1" si="13"/>
        <v>9.8203126894694552</v>
      </c>
      <c r="J19" s="359">
        <f t="shared" ca="1" si="14"/>
        <v>9.9557737101413218E-2</v>
      </c>
      <c r="K19" s="360">
        <f t="shared" ca="1" si="15"/>
        <v>0.56465350225469901</v>
      </c>
      <c r="L19" s="357">
        <f t="shared" ca="1" si="0"/>
        <v>0.57336316643576912</v>
      </c>
      <c r="M19" s="359">
        <f t="shared" ca="1" si="16"/>
        <v>1.3962634015954636</v>
      </c>
      <c r="N19" s="357">
        <f t="shared" ca="1" si="17"/>
        <v>80</v>
      </c>
      <c r="O19" s="343"/>
      <c r="P19" s="363">
        <f t="shared" ca="1" si="18"/>
        <v>4</v>
      </c>
      <c r="Q19" s="357">
        <f t="shared" ca="1" si="19"/>
        <v>1218.6071428571429</v>
      </c>
      <c r="R19" s="359">
        <f t="shared" ca="1" si="20"/>
        <v>0.61043963119602562</v>
      </c>
      <c r="S19" s="360">
        <f t="shared" ca="1" si="21"/>
        <v>12.440581984139923</v>
      </c>
      <c r="T19" s="357">
        <f t="shared" ca="1" si="1"/>
        <v>122.04210926441266</v>
      </c>
      <c r="U19" s="364">
        <f t="shared" ca="1" si="2"/>
        <v>21.192389872393665</v>
      </c>
      <c r="V19" s="359">
        <f t="shared" ca="1" si="3"/>
        <v>1.2249308318987746</v>
      </c>
      <c r="W19" s="357">
        <f t="shared" ca="1" si="4"/>
        <v>0.26975055173256129</v>
      </c>
      <c r="X19" s="343"/>
      <c r="Y19" s="367" t="str">
        <f t="shared" ca="1" si="22"/>
        <v/>
      </c>
      <c r="Z19" s="368" t="str">
        <f t="shared" ca="1" si="23"/>
        <v/>
      </c>
      <c r="AA19" s="369" t="str">
        <f t="shared" ca="1" si="24"/>
        <v/>
      </c>
      <c r="AB19" s="344"/>
      <c r="AC19" s="363" t="e">
        <f t="shared" ca="1" si="25"/>
        <v>#N/A</v>
      </c>
      <c r="AD19" s="376" t="e">
        <f t="shared" ca="1" si="26"/>
        <v>#N/A</v>
      </c>
      <c r="AE19" s="377">
        <f t="shared" ca="1" si="5"/>
        <v>0.56465350225469901</v>
      </c>
      <c r="AF19" s="344"/>
      <c r="AG19" s="359">
        <f t="shared" ca="1" si="27"/>
        <v>88.275266590789897</v>
      </c>
      <c r="AH19" s="357">
        <f t="shared" ca="1" si="28"/>
        <v>97.936230647839665</v>
      </c>
    </row>
    <row r="20" spans="1:34" x14ac:dyDescent="0.25">
      <c r="A20" s="402">
        <f t="shared" ca="1" si="6"/>
        <v>0.01</v>
      </c>
      <c r="B20" s="357">
        <f t="shared" ca="1" si="7"/>
        <v>0.16</v>
      </c>
      <c r="C20" s="342"/>
      <c r="D20" s="359">
        <f t="shared" ca="1" si="8"/>
        <v>15.121160792863336</v>
      </c>
      <c r="E20" s="360">
        <f t="shared" ca="1" si="9"/>
        <v>85.761119549307864</v>
      </c>
      <c r="F20" s="357">
        <f t="shared" ca="1" si="10"/>
        <v>87.083977458969471</v>
      </c>
      <c r="G20" s="359">
        <f t="shared" ca="1" si="11"/>
        <v>1.8563962996592862</v>
      </c>
      <c r="H20" s="360">
        <f t="shared" ca="1" si="12"/>
        <v>10.528747968698298</v>
      </c>
      <c r="I20" s="357">
        <f t="shared" ca="1" si="13"/>
        <v>10.691152464059112</v>
      </c>
      <c r="J20" s="359">
        <f t="shared" ca="1" si="14"/>
        <v>0.11736564205836292</v>
      </c>
      <c r="K20" s="360">
        <f t="shared" ca="1" si="15"/>
        <v>0.66565292596421655</v>
      </c>
      <c r="L20" s="357">
        <f t="shared" ca="1" si="0"/>
        <v>0.67592049220340589</v>
      </c>
      <c r="M20" s="359">
        <f t="shared" ca="1" si="16"/>
        <v>1.3962634015954636</v>
      </c>
      <c r="N20" s="357">
        <f t="shared" ca="1" si="17"/>
        <v>80</v>
      </c>
      <c r="O20" s="343"/>
      <c r="P20" s="363">
        <f t="shared" ca="1" si="18"/>
        <v>4</v>
      </c>
      <c r="Q20" s="357">
        <f t="shared" ca="1" si="19"/>
        <v>1203.25</v>
      </c>
      <c r="R20" s="359">
        <f t="shared" ca="1" si="20"/>
        <v>0.60274674290393893</v>
      </c>
      <c r="S20" s="360">
        <f t="shared" ca="1" si="21"/>
        <v>12.434554516710884</v>
      </c>
      <c r="T20" s="357">
        <f t="shared" ca="1" si="1"/>
        <v>121.98297980893378</v>
      </c>
      <c r="U20" s="364">
        <f t="shared" ca="1" si="2"/>
        <v>21.18212215020332</v>
      </c>
      <c r="V20" s="359">
        <f t="shared" ca="1" si="3"/>
        <v>1.2249184602304288</v>
      </c>
      <c r="W20" s="357">
        <f t="shared" ca="1" si="4"/>
        <v>0.31971010886664475</v>
      </c>
      <c r="X20" s="343"/>
      <c r="Y20" s="367" t="str">
        <f t="shared" ca="1" si="22"/>
        <v/>
      </c>
      <c r="Z20" s="368" t="str">
        <f t="shared" ca="1" si="23"/>
        <v/>
      </c>
      <c r="AA20" s="369" t="str">
        <f t="shared" ca="1" si="24"/>
        <v/>
      </c>
      <c r="AB20" s="344"/>
      <c r="AC20" s="363" t="e">
        <f t="shared" ca="1" si="25"/>
        <v>#N/A</v>
      </c>
      <c r="AD20" s="376" t="e">
        <f t="shared" ca="1" si="26"/>
        <v>#N/A</v>
      </c>
      <c r="AE20" s="377">
        <f t="shared" ca="1" si="5"/>
        <v>0.66565292596421655</v>
      </c>
      <c r="AF20" s="344"/>
      <c r="AG20" s="359">
        <f t="shared" ca="1" si="27"/>
        <v>87.083977455054594</v>
      </c>
      <c r="AH20" s="357">
        <f t="shared" ca="1" si="28"/>
        <v>96.744941512104347</v>
      </c>
    </row>
    <row r="21" spans="1:34" x14ac:dyDescent="0.25">
      <c r="A21" s="402">
        <f t="shared" ca="1" si="6"/>
        <v>0.01</v>
      </c>
      <c r="B21" s="357">
        <f t="shared" ca="1" si="7"/>
        <v>0.17</v>
      </c>
      <c r="C21" s="342"/>
      <c r="D21" s="359">
        <f t="shared" ca="1" si="8"/>
        <v>14.913951320318178</v>
      </c>
      <c r="E21" s="360">
        <f t="shared" ca="1" si="9"/>
        <v>84.585917790915104</v>
      </c>
      <c r="F21" s="357">
        <f t="shared" ca="1" si="10"/>
        <v>85.890648108605333</v>
      </c>
      <c r="G21" s="359">
        <f t="shared" ca="1" si="11"/>
        <v>2.0055358128624681</v>
      </c>
      <c r="H21" s="360">
        <f t="shared" ca="1" si="12"/>
        <v>11.374607146607449</v>
      </c>
      <c r="I21" s="357">
        <f t="shared" ca="1" si="13"/>
        <v>11.550058945145135</v>
      </c>
      <c r="J21" s="359">
        <f t="shared" ca="1" si="14"/>
        <v>0.13667530262097169</v>
      </c>
      <c r="K21" s="360">
        <f t="shared" ca="1" si="15"/>
        <v>0.77516970154074527</v>
      </c>
      <c r="L21" s="357">
        <f t="shared" ca="1" si="0"/>
        <v>0.78712654924942171</v>
      </c>
      <c r="M21" s="359">
        <f t="shared" ca="1" si="16"/>
        <v>1.3962634015954636</v>
      </c>
      <c r="N21" s="357">
        <f t="shared" ca="1" si="17"/>
        <v>80</v>
      </c>
      <c r="O21" s="343"/>
      <c r="P21" s="363">
        <f t="shared" ca="1" si="18"/>
        <v>4</v>
      </c>
      <c r="Q21" s="357">
        <f t="shared" ca="1" si="19"/>
        <v>1187.8928571428571</v>
      </c>
      <c r="R21" s="359">
        <f t="shared" ca="1" si="20"/>
        <v>0.59505385461185212</v>
      </c>
      <c r="S21" s="360">
        <f t="shared" ca="1" si="21"/>
        <v>12.428603978164766</v>
      </c>
      <c r="T21" s="357">
        <f t="shared" ca="1" si="1"/>
        <v>121.92460502579635</v>
      </c>
      <c r="U21" s="364">
        <f t="shared" ca="1" si="2"/>
        <v>21.171985475489802</v>
      </c>
      <c r="V21" s="359">
        <f t="shared" ca="1" si="3"/>
        <v>1.224905045391858</v>
      </c>
      <c r="W21" s="357">
        <f t="shared" ca="1" si="4"/>
        <v>0.37313927851685808</v>
      </c>
      <c r="X21" s="343"/>
      <c r="Y21" s="367" t="str">
        <f t="shared" ca="1" si="22"/>
        <v/>
      </c>
      <c r="Z21" s="368" t="str">
        <f t="shared" ca="1" si="23"/>
        <v/>
      </c>
      <c r="AA21" s="369" t="str">
        <f t="shared" ca="1" si="24"/>
        <v/>
      </c>
      <c r="AB21" s="344"/>
      <c r="AC21" s="363" t="e">
        <f t="shared" ca="1" si="25"/>
        <v>#N/A</v>
      </c>
      <c r="AD21" s="376" t="e">
        <f t="shared" ca="1" si="26"/>
        <v>#N/A</v>
      </c>
      <c r="AE21" s="377">
        <f t="shared" ca="1" si="5"/>
        <v>0.77516970154074527</v>
      </c>
      <c r="AF21" s="344"/>
      <c r="AG21" s="359">
        <f t="shared" ca="1" si="27"/>
        <v>85.890648104733032</v>
      </c>
      <c r="AH21" s="357">
        <f t="shared" ca="1" si="28"/>
        <v>95.551612161782785</v>
      </c>
    </row>
    <row r="22" spans="1:34" x14ac:dyDescent="0.25">
      <c r="A22" s="402">
        <f t="shared" ca="1" si="6"/>
        <v>0.01</v>
      </c>
      <c r="B22" s="357">
        <f t="shared" ca="1" si="7"/>
        <v>0.18000000000000002</v>
      </c>
      <c r="C22" s="342"/>
      <c r="D22" s="359">
        <f t="shared" ca="1" si="8"/>
        <v>14.706393378679502</v>
      </c>
      <c r="E22" s="360">
        <f t="shared" ca="1" si="9"/>
        <v>83.408739681374342</v>
      </c>
      <c r="F22" s="357">
        <f t="shared" ca="1" si="10"/>
        <v>84.695311921284869</v>
      </c>
      <c r="G22" s="359">
        <f t="shared" ca="1" si="11"/>
        <v>2.1525997466492632</v>
      </c>
      <c r="H22" s="360">
        <f t="shared" ca="1" si="12"/>
        <v>12.208694543421192</v>
      </c>
      <c r="I22" s="357">
        <f t="shared" ca="1" si="13"/>
        <v>12.397012064357963</v>
      </c>
      <c r="J22" s="359">
        <f t="shared" ca="1" si="14"/>
        <v>0.15746598041853035</v>
      </c>
      <c r="K22" s="360">
        <f t="shared" ca="1" si="15"/>
        <v>0.8930862099908885</v>
      </c>
      <c r="L22" s="357">
        <f t="shared" ca="1" si="0"/>
        <v>0.90686190429693225</v>
      </c>
      <c r="M22" s="359">
        <f t="shared" ca="1" si="16"/>
        <v>1.3962634015954636</v>
      </c>
      <c r="N22" s="357">
        <f t="shared" ca="1" si="17"/>
        <v>80</v>
      </c>
      <c r="O22" s="343"/>
      <c r="P22" s="363">
        <f t="shared" ca="1" si="18"/>
        <v>4</v>
      </c>
      <c r="Q22" s="357">
        <f t="shared" ca="1" si="19"/>
        <v>1172.5357142857142</v>
      </c>
      <c r="R22" s="359">
        <f t="shared" ca="1" si="20"/>
        <v>0.58736096631976542</v>
      </c>
      <c r="S22" s="360">
        <f t="shared" ca="1" si="21"/>
        <v>12.422730368501568</v>
      </c>
      <c r="T22" s="357">
        <f t="shared" ca="1" si="1"/>
        <v>121.86698491500039</v>
      </c>
      <c r="U22" s="364">
        <f t="shared" ca="1" si="2"/>
        <v>21.161979848253115</v>
      </c>
      <c r="V22" s="359">
        <f t="shared" ca="1" si="3"/>
        <v>1.2248906018243764</v>
      </c>
      <c r="W22" s="357">
        <f t="shared" ca="1" si="4"/>
        <v>0.42986441298759587</v>
      </c>
      <c r="X22" s="343"/>
      <c r="Y22" s="367" t="str">
        <f t="shared" ca="1" si="22"/>
        <v/>
      </c>
      <c r="Z22" s="368" t="str">
        <f t="shared" ca="1" si="23"/>
        <v/>
      </c>
      <c r="AA22" s="369" t="str">
        <f t="shared" ca="1" si="24"/>
        <v/>
      </c>
      <c r="AB22" s="344"/>
      <c r="AC22" s="363" t="e">
        <f t="shared" ca="1" si="25"/>
        <v>#N/A</v>
      </c>
      <c r="AD22" s="376" t="e">
        <f t="shared" ca="1" si="26"/>
        <v>#N/A</v>
      </c>
      <c r="AE22" s="377">
        <f t="shared" ca="1" si="5"/>
        <v>0.8930862099908885</v>
      </c>
      <c r="AF22" s="344"/>
      <c r="AG22" s="359">
        <f t="shared" ca="1" si="27"/>
        <v>84.695311917455172</v>
      </c>
      <c r="AH22" s="357">
        <f t="shared" ca="1" si="28"/>
        <v>94.356275974504939</v>
      </c>
    </row>
    <row r="23" spans="1:34" x14ac:dyDescent="0.25">
      <c r="A23" s="402">
        <f t="shared" ca="1" si="6"/>
        <v>0.01</v>
      </c>
      <c r="B23" s="357">
        <f t="shared" ca="1" si="7"/>
        <v>0.19000000000000003</v>
      </c>
      <c r="C23" s="342"/>
      <c r="D23" s="359">
        <f t="shared" ca="1" si="8"/>
        <v>14.498492759626243</v>
      </c>
      <c r="E23" s="360">
        <f t="shared" ca="1" si="9"/>
        <v>82.229618067896666</v>
      </c>
      <c r="F23" s="357">
        <f t="shared" ca="1" si="10"/>
        <v>83.49800225091073</v>
      </c>
      <c r="G23" s="359">
        <f t="shared" ca="1" si="11"/>
        <v>2.2975846742455257</v>
      </c>
      <c r="H23" s="360">
        <f t="shared" ca="1" si="12"/>
        <v>13.030990724100159</v>
      </c>
      <c r="I23" s="357">
        <f t="shared" ca="1" si="13"/>
        <v>13.231992086867052</v>
      </c>
      <c r="J23" s="359">
        <f t="shared" ca="1" si="14"/>
        <v>0.17971690252300429</v>
      </c>
      <c r="K23" s="360">
        <f t="shared" ca="1" si="15"/>
        <v>1.0192846363284953</v>
      </c>
      <c r="L23" s="357">
        <f t="shared" ca="1" si="0"/>
        <v>1.0350069250530529</v>
      </c>
      <c r="M23" s="359">
        <f t="shared" ca="1" si="16"/>
        <v>1.3962634015954636</v>
      </c>
      <c r="N23" s="357">
        <f t="shared" ca="1" si="17"/>
        <v>80</v>
      </c>
      <c r="O23" s="343"/>
      <c r="P23" s="363">
        <f t="shared" ca="1" si="18"/>
        <v>4</v>
      </c>
      <c r="Q23" s="357">
        <f t="shared" ca="1" si="19"/>
        <v>1157.1785714285713</v>
      </c>
      <c r="R23" s="359">
        <f t="shared" ca="1" si="20"/>
        <v>0.57966807802767872</v>
      </c>
      <c r="S23" s="360">
        <f t="shared" ca="1" si="21"/>
        <v>12.416933687721292</v>
      </c>
      <c r="T23" s="357">
        <f t="shared" ca="1" si="1"/>
        <v>121.81011947654588</v>
      </c>
      <c r="U23" s="364">
        <f t="shared" ca="1" si="2"/>
        <v>21.152105268493258</v>
      </c>
      <c r="V23" s="359">
        <f t="shared" ca="1" si="3"/>
        <v>1.2248751439952403</v>
      </c>
      <c r="W23" s="357">
        <f t="shared" ca="1" si="4"/>
        <v>0.48971389799876808</v>
      </c>
      <c r="X23" s="343"/>
      <c r="Y23" s="367" t="str">
        <f t="shared" ca="1" si="22"/>
        <v/>
      </c>
      <c r="Z23" s="368" t="str">
        <f t="shared" ca="1" si="23"/>
        <v/>
      </c>
      <c r="AA23" s="369" t="str">
        <f t="shared" ca="1" si="24"/>
        <v/>
      </c>
      <c r="AB23" s="344"/>
      <c r="AC23" s="363" t="e">
        <f t="shared" ca="1" si="25"/>
        <v>#N/A</v>
      </c>
      <c r="AD23" s="376" t="e">
        <f t="shared" ca="1" si="26"/>
        <v>#N/A</v>
      </c>
      <c r="AE23" s="377">
        <f t="shared" ca="1" si="5"/>
        <v>1.0192846363284953</v>
      </c>
      <c r="AF23" s="344"/>
      <c r="AG23" s="359">
        <f t="shared" ca="1" si="27"/>
        <v>83.498002247123679</v>
      </c>
      <c r="AH23" s="357">
        <f t="shared" ca="1" si="28"/>
        <v>93.158966304173433</v>
      </c>
    </row>
    <row r="24" spans="1:34" x14ac:dyDescent="0.25">
      <c r="A24" s="402">
        <f t="shared" ca="1" si="6"/>
        <v>0.01</v>
      </c>
      <c r="B24" s="357">
        <f t="shared" ca="1" si="7"/>
        <v>0.20000000000000004</v>
      </c>
      <c r="C24" s="342"/>
      <c r="D24" s="359">
        <f t="shared" ca="1" si="8"/>
        <v>14.290255250023394</v>
      </c>
      <c r="E24" s="360">
        <f t="shared" ca="1" si="9"/>
        <v>81.048585770396841</v>
      </c>
      <c r="F24" s="357">
        <f t="shared" ca="1" si="10"/>
        <v>82.298752423667977</v>
      </c>
      <c r="G24" s="359">
        <f t="shared" ca="1" si="11"/>
        <v>2.4404872267457596</v>
      </c>
      <c r="H24" s="360">
        <f t="shared" ca="1" si="12"/>
        <v>13.841476581804127</v>
      </c>
      <c r="I24" s="357">
        <f t="shared" ca="1" si="13"/>
        <v>14.05497961110372</v>
      </c>
      <c r="J24" s="359">
        <f t="shared" ca="1" si="14"/>
        <v>0.20340726202796072</v>
      </c>
      <c r="K24" s="360">
        <f t="shared" ca="1" si="15"/>
        <v>1.1536469728580168</v>
      </c>
      <c r="L24" s="357">
        <f t="shared" ca="1" si="0"/>
        <v>1.1714417835429027</v>
      </c>
      <c r="M24" s="359">
        <f t="shared" ca="1" si="16"/>
        <v>1.3962634015954636</v>
      </c>
      <c r="N24" s="357">
        <f t="shared" ca="1" si="17"/>
        <v>80</v>
      </c>
      <c r="O24" s="343"/>
      <c r="P24" s="363">
        <f t="shared" ca="1" si="18"/>
        <v>4</v>
      </c>
      <c r="Q24" s="357">
        <f t="shared" ca="1" si="19"/>
        <v>1141.8214285714284</v>
      </c>
      <c r="R24" s="359">
        <f t="shared" ca="1" si="20"/>
        <v>0.57197518973559192</v>
      </c>
      <c r="S24" s="360">
        <f t="shared" ca="1" si="21"/>
        <v>12.411213935823936</v>
      </c>
      <c r="T24" s="357">
        <f t="shared" ca="1" si="1"/>
        <v>121.75400871043281</v>
      </c>
      <c r="U24" s="364">
        <f t="shared" ca="1" si="2"/>
        <v>21.14236173621023</v>
      </c>
      <c r="V24" s="359">
        <f t="shared" ca="1" si="3"/>
        <v>1.2248586863971258</v>
      </c>
      <c r="W24" s="357">
        <f t="shared" ca="1" si="4"/>
        <v>0.55251817546586757</v>
      </c>
      <c r="X24" s="343"/>
      <c r="Y24" s="367" t="str">
        <f t="shared" ca="1" si="22"/>
        <v/>
      </c>
      <c r="Z24" s="368" t="str">
        <f t="shared" ca="1" si="23"/>
        <v/>
      </c>
      <c r="AA24" s="369" t="str">
        <f t="shared" ca="1" si="24"/>
        <v/>
      </c>
      <c r="AB24" s="344"/>
      <c r="AC24" s="363" t="e">
        <f t="shared" ca="1" si="25"/>
        <v>#N/A</v>
      </c>
      <c r="AD24" s="376" t="e">
        <f t="shared" ca="1" si="26"/>
        <v>#N/A</v>
      </c>
      <c r="AE24" s="377">
        <f t="shared" ca="1" si="5"/>
        <v>1.1536469728580168</v>
      </c>
      <c r="AF24" s="344"/>
      <c r="AG24" s="359">
        <f t="shared" ca="1" si="27"/>
        <v>82.298752419923574</v>
      </c>
      <c r="AH24" s="357">
        <f t="shared" ca="1" si="28"/>
        <v>91.959716476973341</v>
      </c>
    </row>
    <row r="25" spans="1:34" x14ac:dyDescent="0.25">
      <c r="A25" s="402">
        <f t="shared" ca="1" si="6"/>
        <v>0.01</v>
      </c>
      <c r="B25" s="357">
        <f t="shared" ca="1" si="7"/>
        <v>0.21000000000000005</v>
      </c>
      <c r="C25" s="342"/>
      <c r="D25" s="359">
        <f t="shared" ca="1" si="8"/>
        <v>14.08168663123303</v>
      </c>
      <c r="E25" s="360">
        <f t="shared" ca="1" si="9"/>
        <v>79.865675577585961</v>
      </c>
      <c r="F25" s="357">
        <f t="shared" ca="1" si="10"/>
        <v>81.097595734056497</v>
      </c>
      <c r="G25" s="359">
        <f t="shared" ca="1" si="11"/>
        <v>2.5813040930580899</v>
      </c>
      <c r="H25" s="360">
        <f t="shared" ca="1" si="12"/>
        <v>14.640133337579986</v>
      </c>
      <c r="I25" s="357">
        <f t="shared" ca="1" si="13"/>
        <v>14.865955568444274</v>
      </c>
      <c r="J25" s="359">
        <f t="shared" ca="1" si="14"/>
        <v>0.22851621862697996</v>
      </c>
      <c r="K25" s="360">
        <f t="shared" ca="1" si="15"/>
        <v>1.2960550224549374</v>
      </c>
      <c r="L25" s="357">
        <f t="shared" ca="1" si="0"/>
        <v>1.3160464594406391</v>
      </c>
      <c r="M25" s="359">
        <f t="shared" ca="1" si="16"/>
        <v>1.3962634015954636</v>
      </c>
      <c r="N25" s="357">
        <f t="shared" ca="1" si="17"/>
        <v>80</v>
      </c>
      <c r="O25" s="343"/>
      <c r="P25" s="363">
        <f t="shared" ca="1" si="18"/>
        <v>4</v>
      </c>
      <c r="Q25" s="357">
        <f t="shared" ca="1" si="19"/>
        <v>1126.4642857142858</v>
      </c>
      <c r="R25" s="359">
        <f t="shared" ca="1" si="20"/>
        <v>0.56428230144350533</v>
      </c>
      <c r="S25" s="360">
        <f t="shared" ca="1" si="21"/>
        <v>12.405571112809501</v>
      </c>
      <c r="T25" s="357">
        <f t="shared" ca="1" si="1"/>
        <v>121.69865261666121</v>
      </c>
      <c r="U25" s="364">
        <f t="shared" ca="1" si="2"/>
        <v>21.132749251404032</v>
      </c>
      <c r="V25" s="359">
        <f t="shared" ca="1" si="3"/>
        <v>1.2248412435476042</v>
      </c>
      <c r="W25" s="357">
        <f t="shared" ca="1" si="4"/>
        <v>0.61810976588894817</v>
      </c>
      <c r="X25" s="343"/>
      <c r="Y25" s="367" t="str">
        <f t="shared" ca="1" si="22"/>
        <v/>
      </c>
      <c r="Z25" s="368" t="str">
        <f t="shared" ca="1" si="23"/>
        <v/>
      </c>
      <c r="AA25" s="369" t="str">
        <f t="shared" ca="1" si="24"/>
        <v/>
      </c>
      <c r="AB25" s="344"/>
      <c r="AC25" s="363" t="e">
        <f t="shared" ca="1" si="25"/>
        <v>#N/A</v>
      </c>
      <c r="AD25" s="376" t="e">
        <f t="shared" ca="1" si="26"/>
        <v>#N/A</v>
      </c>
      <c r="AE25" s="377">
        <f t="shared" ca="1" si="5"/>
        <v>1.2960550224549374</v>
      </c>
      <c r="AF25" s="344"/>
      <c r="AG25" s="359">
        <f t="shared" ca="1" si="27"/>
        <v>81.097595730354797</v>
      </c>
      <c r="AH25" s="357">
        <f t="shared" ca="1" si="28"/>
        <v>90.758559787404565</v>
      </c>
    </row>
    <row r="26" spans="1:34" x14ac:dyDescent="0.25">
      <c r="A26" s="402">
        <f t="shared" ca="1" si="6"/>
        <v>0.01</v>
      </c>
      <c r="B26" s="357">
        <f t="shared" ca="1" si="7"/>
        <v>0.22000000000000006</v>
      </c>
      <c r="C26" s="342"/>
      <c r="D26" s="359">
        <f t="shared" ca="1" si="8"/>
        <v>13.87279267842939</v>
      </c>
      <c r="E26" s="360">
        <f t="shared" ca="1" si="9"/>
        <v>78.680920243086945</v>
      </c>
      <c r="F26" s="357">
        <f t="shared" ca="1" si="10"/>
        <v>79.894565440946565</v>
      </c>
      <c r="G26" s="359">
        <f t="shared" ca="1" si="11"/>
        <v>2.720032019842384</v>
      </c>
      <c r="H26" s="360">
        <f t="shared" ca="1" si="12"/>
        <v>15.426942540010856</v>
      </c>
      <c r="I26" s="357">
        <f t="shared" ca="1" si="13"/>
        <v>15.664901222853734</v>
      </c>
      <c r="J26" s="359">
        <f t="shared" ca="1" si="14"/>
        <v>0.25502289919148236</v>
      </c>
      <c r="K26" s="360">
        <f t="shared" ca="1" si="15"/>
        <v>1.4463904018428917</v>
      </c>
      <c r="L26" s="357">
        <f t="shared" ca="1" si="0"/>
        <v>1.468700743397126</v>
      </c>
      <c r="M26" s="359">
        <f t="shared" ca="1" si="16"/>
        <v>1.3962634015954636</v>
      </c>
      <c r="N26" s="357">
        <f t="shared" ca="1" si="17"/>
        <v>80</v>
      </c>
      <c r="O26" s="343"/>
      <c r="P26" s="363">
        <f t="shared" ca="1" si="18"/>
        <v>4</v>
      </c>
      <c r="Q26" s="357">
        <f t="shared" ca="1" si="19"/>
        <v>1111.1071428571427</v>
      </c>
      <c r="R26" s="359">
        <f t="shared" ca="1" si="20"/>
        <v>0.55658941315141852</v>
      </c>
      <c r="S26" s="360">
        <f t="shared" ca="1" si="21"/>
        <v>12.400005218677986</v>
      </c>
      <c r="T26" s="357">
        <f t="shared" ca="1" si="1"/>
        <v>121.64405119523104</v>
      </c>
      <c r="U26" s="364">
        <f t="shared" ca="1" si="2"/>
        <v>21.123267814074659</v>
      </c>
      <c r="V26" s="359">
        <f t="shared" ca="1" si="3"/>
        <v>1.2248228299886248</v>
      </c>
      <c r="W26" s="357">
        <f t="shared" ca="1" si="4"/>
        <v>0.68632329034880202</v>
      </c>
      <c r="X26" s="343"/>
      <c r="Y26" s="367" t="str">
        <f t="shared" ca="1" si="22"/>
        <v/>
      </c>
      <c r="Z26" s="368" t="str">
        <f t="shared" ca="1" si="23"/>
        <v/>
      </c>
      <c r="AA26" s="369" t="str">
        <f t="shared" ca="1" si="24"/>
        <v/>
      </c>
      <c r="AB26" s="344"/>
      <c r="AC26" s="363" t="e">
        <f t="shared" ca="1" si="25"/>
        <v>#N/A</v>
      </c>
      <c r="AD26" s="376" t="e">
        <f t="shared" ca="1" si="26"/>
        <v>#N/A</v>
      </c>
      <c r="AE26" s="377">
        <f t="shared" ca="1" si="5"/>
        <v>1.4463904018428917</v>
      </c>
      <c r="AF26" s="344"/>
      <c r="AG26" s="359">
        <f t="shared" ca="1" si="27"/>
        <v>79.894565437287611</v>
      </c>
      <c r="AH26" s="357">
        <f t="shared" ca="1" si="28"/>
        <v>89.555529494337378</v>
      </c>
    </row>
    <row r="27" spans="1:34" x14ac:dyDescent="0.25">
      <c r="A27" s="402">
        <f t="shared" ca="1" si="6"/>
        <v>0.01</v>
      </c>
      <c r="B27" s="357">
        <f t="shared" ca="1" si="7"/>
        <v>0.23000000000000007</v>
      </c>
      <c r="C27" s="342"/>
      <c r="D27" s="359">
        <f t="shared" ca="1" si="8"/>
        <v>13.663579159918228</v>
      </c>
      <c r="E27" s="360">
        <f t="shared" ca="1" si="9"/>
        <v>77.494352481574438</v>
      </c>
      <c r="F27" s="357">
        <f t="shared" ca="1" si="10"/>
        <v>78.689694763659205</v>
      </c>
      <c r="G27" s="359">
        <f t="shared" ca="1" si="11"/>
        <v>2.8566678114415662</v>
      </c>
      <c r="H27" s="360">
        <f t="shared" ca="1" si="12"/>
        <v>16.201886064826599</v>
      </c>
      <c r="I27" s="357">
        <f t="shared" ca="1" si="13"/>
        <v>16.451798170490321</v>
      </c>
      <c r="J27" s="359">
        <f t="shared" ca="1" si="14"/>
        <v>0.2829063983479021</v>
      </c>
      <c r="K27" s="360">
        <f t="shared" ca="1" si="15"/>
        <v>1.6045345448670789</v>
      </c>
      <c r="L27" s="357">
        <f t="shared" ca="1" si="0"/>
        <v>1.6292842403638432</v>
      </c>
      <c r="M27" s="359">
        <f t="shared" ca="1" si="16"/>
        <v>1.3962634015954636</v>
      </c>
      <c r="N27" s="357">
        <f t="shared" ca="1" si="17"/>
        <v>80</v>
      </c>
      <c r="O27" s="343"/>
      <c r="P27" s="363">
        <f t="shared" ca="1" si="18"/>
        <v>4</v>
      </c>
      <c r="Q27" s="357">
        <f t="shared" ca="1" si="19"/>
        <v>1095.75</v>
      </c>
      <c r="R27" s="359">
        <f t="shared" ca="1" si="20"/>
        <v>0.54889652485933182</v>
      </c>
      <c r="S27" s="360">
        <f t="shared" ca="1" si="21"/>
        <v>12.394516253429392</v>
      </c>
      <c r="T27" s="357">
        <f t="shared" ca="1" si="1"/>
        <v>121.59020444614235</v>
      </c>
      <c r="U27" s="364">
        <f t="shared" ca="1" si="2"/>
        <v>21.113917424222119</v>
      </c>
      <c r="V27" s="359">
        <f t="shared" ca="1" si="3"/>
        <v>1.2248034602859921</v>
      </c>
      <c r="W27" s="357">
        <f t="shared" ca="1" si="4"/>
        <v>0.75699549210874784</v>
      </c>
      <c r="X27" s="343"/>
      <c r="Y27" s="367" t="str">
        <f t="shared" ca="1" si="22"/>
        <v/>
      </c>
      <c r="Z27" s="368" t="str">
        <f t="shared" ca="1" si="23"/>
        <v/>
      </c>
      <c r="AA27" s="369" t="str">
        <f t="shared" ca="1" si="24"/>
        <v/>
      </c>
      <c r="AB27" s="344"/>
      <c r="AC27" s="363" t="e">
        <f t="shared" ca="1" si="25"/>
        <v>#N/A</v>
      </c>
      <c r="AD27" s="376" t="e">
        <f t="shared" ca="1" si="26"/>
        <v>#N/A</v>
      </c>
      <c r="AE27" s="377">
        <f t="shared" ca="1" si="5"/>
        <v>1.6045345448670789</v>
      </c>
      <c r="AF27" s="344"/>
      <c r="AG27" s="359">
        <f t="shared" ca="1" si="27"/>
        <v>78.689694760043011</v>
      </c>
      <c r="AH27" s="357">
        <f t="shared" ca="1" si="28"/>
        <v>88.350658817092764</v>
      </c>
    </row>
    <row r="28" spans="1:34" x14ac:dyDescent="0.25">
      <c r="A28" s="402">
        <f t="shared" ca="1" si="6"/>
        <v>0.01</v>
      </c>
      <c r="B28" s="357">
        <f t="shared" ca="1" si="7"/>
        <v>0.24000000000000007</v>
      </c>
      <c r="C28" s="342"/>
      <c r="D28" s="359">
        <f t="shared" ca="1" si="8"/>
        <v>13.45405183646038</v>
      </c>
      <c r="E28" s="360">
        <f t="shared" ca="1" si="9"/>
        <v>76.306004964938424</v>
      </c>
      <c r="F28" s="357">
        <f t="shared" ca="1" si="10"/>
        <v>77.483016878070586</v>
      </c>
      <c r="G28" s="359">
        <f t="shared" ca="1" si="11"/>
        <v>2.9912083298061702</v>
      </c>
      <c r="H28" s="360">
        <f t="shared" ca="1" si="12"/>
        <v>16.964946114475982</v>
      </c>
      <c r="I28" s="357">
        <f t="shared" ca="1" si="13"/>
        <v>17.226628339271024</v>
      </c>
      <c r="J28" s="359">
        <f t="shared" ca="1" si="14"/>
        <v>0.31214577905414076</v>
      </c>
      <c r="K28" s="360">
        <f t="shared" ca="1" si="15"/>
        <v>1.7703687057635917</v>
      </c>
      <c r="L28" s="357">
        <f t="shared" ca="1" si="0"/>
        <v>1.7976763729126473</v>
      </c>
      <c r="M28" s="359">
        <f t="shared" ca="1" si="16"/>
        <v>1.3962634015954636</v>
      </c>
      <c r="N28" s="357">
        <f t="shared" ca="1" si="17"/>
        <v>80</v>
      </c>
      <c r="O28" s="343"/>
      <c r="P28" s="363">
        <f t="shared" ca="1" si="18"/>
        <v>4</v>
      </c>
      <c r="Q28" s="357">
        <f t="shared" ca="1" si="19"/>
        <v>1080.3928571428571</v>
      </c>
      <c r="R28" s="359">
        <f t="shared" ca="1" si="20"/>
        <v>0.54120363656724513</v>
      </c>
      <c r="S28" s="360">
        <f t="shared" ca="1" si="21"/>
        <v>12.38910421706372</v>
      </c>
      <c r="T28" s="357">
        <f t="shared" ca="1" si="1"/>
        <v>121.53711236939509</v>
      </c>
      <c r="U28" s="364">
        <f t="shared" ca="1" si="2"/>
        <v>21.104698081846404</v>
      </c>
      <c r="V28" s="359">
        <f t="shared" ca="1" si="3"/>
        <v>1.224783149028853</v>
      </c>
      <c r="W28" s="357">
        <f t="shared" ca="1" si="4"/>
        <v>0.82996525782059638</v>
      </c>
      <c r="X28" s="343"/>
      <c r="Y28" s="367" t="str">
        <f t="shared" ca="1" si="22"/>
        <v/>
      </c>
      <c r="Z28" s="368" t="str">
        <f t="shared" ca="1" si="23"/>
        <v/>
      </c>
      <c r="AA28" s="369" t="str">
        <f t="shared" ca="1" si="24"/>
        <v/>
      </c>
      <c r="AB28" s="344"/>
      <c r="AC28" s="363" t="e">
        <f t="shared" ca="1" si="25"/>
        <v>#N/A</v>
      </c>
      <c r="AD28" s="376" t="e">
        <f t="shared" ca="1" si="26"/>
        <v>#N/A</v>
      </c>
      <c r="AE28" s="377">
        <f t="shared" ca="1" si="5"/>
        <v>1.7703687057635917</v>
      </c>
      <c r="AF28" s="344"/>
      <c r="AG28" s="359">
        <f t="shared" ca="1" si="27"/>
        <v>77.483016874497167</v>
      </c>
      <c r="AH28" s="357">
        <f t="shared" ca="1" si="28"/>
        <v>87.143980931546935</v>
      </c>
    </row>
    <row r="29" spans="1:34" x14ac:dyDescent="0.25">
      <c r="A29" s="402">
        <f t="shared" ca="1" si="6"/>
        <v>0.01</v>
      </c>
      <c r="B29" s="357">
        <f t="shared" ca="1" si="7"/>
        <v>0.25000000000000006</v>
      </c>
      <c r="C29" s="342"/>
      <c r="D29" s="359">
        <f t="shared" ca="1" si="8"/>
        <v>13.244216460599851</v>
      </c>
      <c r="E29" s="360">
        <f t="shared" ca="1" si="9"/>
        <v>75.115910318473624</v>
      </c>
      <c r="F29" s="357">
        <f t="shared" ca="1" si="10"/>
        <v>76.274564912742676</v>
      </c>
      <c r="G29" s="359">
        <f t="shared" ca="1" si="11"/>
        <v>3.1236504944121686</v>
      </c>
      <c r="H29" s="360">
        <f t="shared" ca="1" si="12"/>
        <v>17.716105217660719</v>
      </c>
      <c r="I29" s="357">
        <f t="shared" ca="1" si="13"/>
        <v>17.989373988398448</v>
      </c>
      <c r="J29" s="359">
        <f t="shared" ca="1" si="14"/>
        <v>0.34272007317523245</v>
      </c>
      <c r="K29" s="360">
        <f t="shared" ca="1" si="15"/>
        <v>1.9437739624242751</v>
      </c>
      <c r="L29" s="357">
        <f t="shared" ca="1" si="0"/>
        <v>1.9737563845509922</v>
      </c>
      <c r="M29" s="359">
        <f t="shared" ca="1" si="16"/>
        <v>1.3962634015954636</v>
      </c>
      <c r="N29" s="357">
        <f t="shared" ca="1" si="17"/>
        <v>80</v>
      </c>
      <c r="O29" s="343"/>
      <c r="P29" s="363">
        <f t="shared" ca="1" si="18"/>
        <v>4</v>
      </c>
      <c r="Q29" s="357">
        <f t="shared" ca="1" si="19"/>
        <v>1065.0357142857142</v>
      </c>
      <c r="R29" s="359">
        <f t="shared" ca="1" si="20"/>
        <v>0.53351074827515843</v>
      </c>
      <c r="S29" s="360">
        <f t="shared" ca="1" si="21"/>
        <v>12.383769109580967</v>
      </c>
      <c r="T29" s="357">
        <f t="shared" ca="1" si="1"/>
        <v>121.4847749649893</v>
      </c>
      <c r="U29" s="364">
        <f t="shared" ca="1" si="2"/>
        <v>21.095609786947524</v>
      </c>
      <c r="V29" s="359">
        <f t="shared" ca="1" si="3"/>
        <v>1.2247619108291798</v>
      </c>
      <c r="W29" s="357">
        <f t="shared" ca="1" si="4"/>
        <v>0.90507363833346732</v>
      </c>
      <c r="X29" s="343"/>
      <c r="Y29" s="367" t="str">
        <f t="shared" ca="1" si="22"/>
        <v/>
      </c>
      <c r="Z29" s="368" t="str">
        <f t="shared" ca="1" si="23"/>
        <v/>
      </c>
      <c r="AA29" s="369" t="str">
        <f t="shared" ca="1" si="24"/>
        <v/>
      </c>
      <c r="AB29" s="344"/>
      <c r="AC29" s="363" t="e">
        <f t="shared" ca="1" si="25"/>
        <v>#N/A</v>
      </c>
      <c r="AD29" s="376" t="e">
        <f t="shared" ca="1" si="26"/>
        <v>#N/A</v>
      </c>
      <c r="AE29" s="377">
        <f t="shared" ca="1" si="5"/>
        <v>1.9437739624242751</v>
      </c>
      <c r="AF29" s="344"/>
      <c r="AG29" s="359">
        <f t="shared" ca="1" si="27"/>
        <v>76.27456490921206</v>
      </c>
      <c r="AH29" s="357">
        <f t="shared" ca="1" si="28"/>
        <v>85.935528966261828</v>
      </c>
    </row>
    <row r="30" spans="1:34" x14ac:dyDescent="0.25">
      <c r="A30" s="402">
        <f t="shared" ca="1" si="6"/>
        <v>0.01</v>
      </c>
      <c r="B30" s="357">
        <f t="shared" ca="1" si="7"/>
        <v>0.26000000000000006</v>
      </c>
      <c r="C30" s="342"/>
      <c r="D30" s="359">
        <f t="shared" ca="1" si="8"/>
        <v>13.034078775996436</v>
      </c>
      <c r="E30" s="360">
        <f t="shared" ca="1" si="9"/>
        <v>73.924101117094509</v>
      </c>
      <c r="F30" s="357">
        <f t="shared" ca="1" si="10"/>
        <v>75.06437194507987</v>
      </c>
      <c r="G30" s="359">
        <f t="shared" ca="1" si="11"/>
        <v>3.2539912821721328</v>
      </c>
      <c r="H30" s="360">
        <f t="shared" ca="1" si="12"/>
        <v>18.455346228831665</v>
      </c>
      <c r="I30" s="357">
        <f t="shared" ca="1" si="13"/>
        <v>18.740017707849248</v>
      </c>
      <c r="J30" s="359">
        <f t="shared" ca="1" si="14"/>
        <v>0.37460828205815394</v>
      </c>
      <c r="K30" s="360">
        <f t="shared" ca="1" si="15"/>
        <v>2.1246312196567372</v>
      </c>
      <c r="L30" s="357">
        <f t="shared" ca="1" si="0"/>
        <v>2.1574033430322288</v>
      </c>
      <c r="M30" s="359">
        <f t="shared" ca="1" si="16"/>
        <v>1.3962634015954636</v>
      </c>
      <c r="N30" s="357">
        <f t="shared" ca="1" si="17"/>
        <v>80</v>
      </c>
      <c r="O30" s="343"/>
      <c r="P30" s="363">
        <f t="shared" ca="1" si="18"/>
        <v>4</v>
      </c>
      <c r="Q30" s="357">
        <f t="shared" ca="1" si="19"/>
        <v>1049.6785714285713</v>
      </c>
      <c r="R30" s="359">
        <f t="shared" ca="1" si="20"/>
        <v>0.52581785998307162</v>
      </c>
      <c r="S30" s="360">
        <f t="shared" ca="1" si="21"/>
        <v>12.378510930981136</v>
      </c>
      <c r="T30" s="357">
        <f t="shared" ca="1" si="1"/>
        <v>121.43319223292495</v>
      </c>
      <c r="U30" s="364">
        <f t="shared" ca="1" si="2"/>
        <v>21.086652539525467</v>
      </c>
      <c r="V30" s="359">
        <f t="shared" ca="1" si="3"/>
        <v>1.2247397603212595</v>
      </c>
      <c r="W30" s="357">
        <f t="shared" ca="1" si="4"/>
        <v>0.98216386910429732</v>
      </c>
      <c r="X30" s="343"/>
      <c r="Y30" s="367" t="str">
        <f t="shared" ca="1" si="22"/>
        <v/>
      </c>
      <c r="Z30" s="368" t="str">
        <f t="shared" ca="1" si="23"/>
        <v/>
      </c>
      <c r="AA30" s="369" t="str">
        <f t="shared" ca="1" si="24"/>
        <v/>
      </c>
      <c r="AB30" s="344"/>
      <c r="AC30" s="363" t="e">
        <f t="shared" ca="1" si="25"/>
        <v>#N/A</v>
      </c>
      <c r="AD30" s="376" t="e">
        <f t="shared" ca="1" si="26"/>
        <v>#N/A</v>
      </c>
      <c r="AE30" s="377">
        <f t="shared" ca="1" si="5"/>
        <v>2.1246312196567372</v>
      </c>
      <c r="AF30" s="344"/>
      <c r="AG30" s="359">
        <f t="shared" ca="1" si="27"/>
        <v>75.0643719415921</v>
      </c>
      <c r="AH30" s="357">
        <f t="shared" ca="1" si="28"/>
        <v>84.725335998641853</v>
      </c>
    </row>
    <row r="31" spans="1:34" x14ac:dyDescent="0.25">
      <c r="A31" s="402">
        <f t="shared" ca="1" si="6"/>
        <v>0.01</v>
      </c>
      <c r="B31" s="357">
        <f t="shared" ca="1" si="7"/>
        <v>0.27000000000000007</v>
      </c>
      <c r="C31" s="342"/>
      <c r="D31" s="359">
        <f t="shared" ca="1" si="8"/>
        <v>12.92910643548985</v>
      </c>
      <c r="E31" s="360">
        <f t="shared" ca="1" si="9"/>
        <v>73.328743990498808</v>
      </c>
      <c r="F31" s="357">
        <f t="shared" ca="1" si="10"/>
        <v>74.459831375341835</v>
      </c>
      <c r="G31" s="359">
        <f t="shared" ca="1" si="11"/>
        <v>3.3832823465270314</v>
      </c>
      <c r="H31" s="360">
        <f t="shared" ca="1" si="12"/>
        <v>19.188633668736653</v>
      </c>
      <c r="I31" s="357">
        <f t="shared" ca="1" si="13"/>
        <v>19.484616021602665</v>
      </c>
      <c r="J31" s="359">
        <f t="shared" ca="1" si="14"/>
        <v>0.40779465020164973</v>
      </c>
      <c r="K31" s="360">
        <f t="shared" ca="1" si="15"/>
        <v>2.3128511191445789</v>
      </c>
      <c r="L31" s="357">
        <f t="shared" ca="1" si="0"/>
        <v>2.3485265116794865</v>
      </c>
      <c r="M31" s="359">
        <f t="shared" ca="1" si="16"/>
        <v>1.3962634015954636</v>
      </c>
      <c r="N31" s="357">
        <f t="shared" ca="1" si="17"/>
        <v>80</v>
      </c>
      <c r="O31" s="343"/>
      <c r="P31" s="363">
        <f t="shared" ca="1" si="18"/>
        <v>5</v>
      </c>
      <c r="Q31" s="357">
        <f t="shared" ca="1" si="19"/>
        <v>1041.8333333333333</v>
      </c>
      <c r="R31" s="359">
        <f t="shared" ca="1" si="20"/>
        <v>0.52188792712688159</v>
      </c>
      <c r="S31" s="360">
        <f t="shared" ca="1" si="21"/>
        <v>12.373292051709868</v>
      </c>
      <c r="T31" s="357">
        <f t="shared" ca="1" si="1"/>
        <v>121.3819950272738</v>
      </c>
      <c r="U31" s="364">
        <f t="shared" ca="1" si="2"/>
        <v>21.077762238062505</v>
      </c>
      <c r="V31" s="359">
        <f t="shared" ca="1" si="3"/>
        <v>1.224716708498458</v>
      </c>
      <c r="W31" s="357">
        <f t="shared" ca="1" si="4"/>
        <v>1.0617432017162731</v>
      </c>
      <c r="X31" s="343"/>
      <c r="Y31" s="367" t="str">
        <f t="shared" ca="1" si="22"/>
        <v/>
      </c>
      <c r="Z31" s="368" t="str">
        <f t="shared" ca="1" si="23"/>
        <v/>
      </c>
      <c r="AA31" s="369" t="str">
        <f t="shared" ca="1" si="24"/>
        <v/>
      </c>
      <c r="AB31" s="344"/>
      <c r="AC31" s="363" t="e">
        <f t="shared" ca="1" si="25"/>
        <v>#N/A</v>
      </c>
      <c r="AD31" s="376" t="e">
        <f t="shared" ca="1" si="26"/>
        <v>#N/A</v>
      </c>
      <c r="AE31" s="377">
        <f t="shared" ca="1" si="5"/>
        <v>2.3128511191445789</v>
      </c>
      <c r="AF31" s="344"/>
      <c r="AG31" s="359">
        <f t="shared" ca="1" si="27"/>
        <v>74.459831371875197</v>
      </c>
      <c r="AH31" s="357">
        <f t="shared" ca="1" si="28"/>
        <v>84.12079542892495</v>
      </c>
    </row>
    <row r="32" spans="1:34" x14ac:dyDescent="0.25">
      <c r="A32" s="402">
        <f t="shared" ca="1" si="6"/>
        <v>0.01</v>
      </c>
      <c r="B32" s="357">
        <f t="shared" ca="1" si="7"/>
        <v>0.28000000000000008</v>
      </c>
      <c r="C32" s="342"/>
      <c r="D32" s="359">
        <f t="shared" ca="1" si="8"/>
        <v>12.929470886932103</v>
      </c>
      <c r="E32" s="360">
        <f t="shared" ca="1" si="9"/>
        <v>73.330811318329509</v>
      </c>
      <c r="F32" s="357">
        <f t="shared" ca="1" si="10"/>
        <v>74.461930582146934</v>
      </c>
      <c r="G32" s="359">
        <f t="shared" ca="1" si="11"/>
        <v>3.5125770553963527</v>
      </c>
      <c r="H32" s="360">
        <f t="shared" ca="1" si="12"/>
        <v>19.921941781919948</v>
      </c>
      <c r="I32" s="357">
        <f t="shared" ca="1" si="13"/>
        <v>20.229235327424135</v>
      </c>
      <c r="J32" s="359">
        <f t="shared" ca="1" si="14"/>
        <v>0.44227394721126667</v>
      </c>
      <c r="K32" s="360">
        <f t="shared" ca="1" si="15"/>
        <v>2.5084039963978619</v>
      </c>
      <c r="L32" s="357">
        <f t="shared" ca="1" si="0"/>
        <v>2.5470957684246187</v>
      </c>
      <c r="M32" s="359">
        <f t="shared" ca="1" si="16"/>
        <v>1.3962634015954636</v>
      </c>
      <c r="N32" s="357">
        <f t="shared" ca="1" si="17"/>
        <v>80</v>
      </c>
      <c r="O32" s="343"/>
      <c r="P32" s="363">
        <f t="shared" ca="1" si="18"/>
        <v>5</v>
      </c>
      <c r="Q32" s="357">
        <f t="shared" ca="1" si="19"/>
        <v>1041.5</v>
      </c>
      <c r="R32" s="359">
        <f t="shared" ca="1" si="20"/>
        <v>0.52172094970658833</v>
      </c>
      <c r="S32" s="360">
        <f t="shared" ca="1" si="21"/>
        <v>12.368074842212803</v>
      </c>
      <c r="T32" s="357">
        <f t="shared" ca="1" si="1"/>
        <v>121.3308142021076</v>
      </c>
      <c r="U32" s="364">
        <f t="shared" ca="1" si="2"/>
        <v>21.068874781040904</v>
      </c>
      <c r="V32" s="359">
        <f t="shared" ca="1" si="3"/>
        <v>1.2246927590446632</v>
      </c>
      <c r="W32" s="357">
        <f t="shared" ca="1" si="4"/>
        <v>1.1444220738318722</v>
      </c>
      <c r="X32" s="343"/>
      <c r="Y32" s="367" t="str">
        <f t="shared" ca="1" si="22"/>
        <v/>
      </c>
      <c r="Z32" s="368" t="str">
        <f t="shared" ca="1" si="23"/>
        <v/>
      </c>
      <c r="AA32" s="369" t="str">
        <f t="shared" ca="1" si="24"/>
        <v/>
      </c>
      <c r="AB32" s="344"/>
      <c r="AC32" s="363" t="e">
        <f t="shared" ca="1" si="25"/>
        <v>#N/A</v>
      </c>
      <c r="AD32" s="376" t="e">
        <f t="shared" ca="1" si="26"/>
        <v>#N/A</v>
      </c>
      <c r="AE32" s="377">
        <f t="shared" ca="1" si="5"/>
        <v>2.5084039963978619</v>
      </c>
      <c r="AF32" s="344"/>
      <c r="AG32" s="359">
        <f t="shared" ca="1" si="27"/>
        <v>74.46193057867967</v>
      </c>
      <c r="AH32" s="357">
        <f t="shared" ca="1" si="28"/>
        <v>84.122894635729438</v>
      </c>
    </row>
    <row r="33" spans="1:34" x14ac:dyDescent="0.25">
      <c r="A33" s="402">
        <f t="shared" ca="1" si="6"/>
        <v>0.01</v>
      </c>
      <c r="B33" s="357">
        <f t="shared" ca="1" si="7"/>
        <v>0.29000000000000009</v>
      </c>
      <c r="C33" s="342"/>
      <c r="D33" s="359">
        <f t="shared" ca="1" si="8"/>
        <v>12.929790137044549</v>
      </c>
      <c r="E33" s="360">
        <f t="shared" ca="1" si="9"/>
        <v>73.3326222964766</v>
      </c>
      <c r="F33" s="357">
        <f t="shared" ca="1" si="10"/>
        <v>74.46376948466758</v>
      </c>
      <c r="G33" s="359">
        <f t="shared" ca="1" si="11"/>
        <v>3.6418749567667983</v>
      </c>
      <c r="H33" s="360">
        <f t="shared" ca="1" si="12"/>
        <v>20.655268004884714</v>
      </c>
      <c r="I33" s="357">
        <f t="shared" ca="1" si="13"/>
        <v>20.973873022270812</v>
      </c>
      <c r="J33" s="359">
        <f t="shared" ca="1" si="14"/>
        <v>0.47804620727208241</v>
      </c>
      <c r="K33" s="360">
        <f t="shared" ca="1" si="15"/>
        <v>2.7112900453318853</v>
      </c>
      <c r="L33" s="357">
        <f t="shared" ca="1" si="0"/>
        <v>2.7531113101730922</v>
      </c>
      <c r="M33" s="359">
        <f t="shared" ca="1" si="16"/>
        <v>1.3962634015954636</v>
      </c>
      <c r="N33" s="357">
        <f t="shared" ca="1" si="17"/>
        <v>80</v>
      </c>
      <c r="O33" s="343"/>
      <c r="P33" s="363">
        <f t="shared" ca="1" si="18"/>
        <v>5</v>
      </c>
      <c r="Q33" s="357">
        <f t="shared" ca="1" si="19"/>
        <v>1041.1666666666667</v>
      </c>
      <c r="R33" s="359">
        <f t="shared" ca="1" si="20"/>
        <v>0.52155397228629496</v>
      </c>
      <c r="S33" s="360">
        <f t="shared" ca="1" si="21"/>
        <v>12.362859302489939</v>
      </c>
      <c r="T33" s="357">
        <f t="shared" ca="1" si="1"/>
        <v>121.27964975742631</v>
      </c>
      <c r="U33" s="364">
        <f t="shared" ca="1" si="2"/>
        <v>21.059990168460658</v>
      </c>
      <c r="V33" s="359">
        <f t="shared" ca="1" si="3"/>
        <v>1.2246679119887929</v>
      </c>
      <c r="W33" s="357">
        <f t="shared" ca="1" si="4"/>
        <v>1.230200078492796</v>
      </c>
      <c r="X33" s="343"/>
      <c r="Y33" s="367" t="str">
        <f t="shared" ca="1" si="22"/>
        <v/>
      </c>
      <c r="Z33" s="368" t="str">
        <f t="shared" ca="1" si="23"/>
        <v/>
      </c>
      <c r="AA33" s="369" t="str">
        <f t="shared" ca="1" si="24"/>
        <v/>
      </c>
      <c r="AB33" s="344"/>
      <c r="AC33" s="363" t="e">
        <f t="shared" ca="1" si="25"/>
        <v>#N/A</v>
      </c>
      <c r="AD33" s="376" t="e">
        <f t="shared" ca="1" si="26"/>
        <v>#N/A</v>
      </c>
      <c r="AE33" s="377">
        <f t="shared" ca="1" si="5"/>
        <v>2.7112900453318853</v>
      </c>
      <c r="AF33" s="344"/>
      <c r="AG33" s="359">
        <f t="shared" ca="1" si="27"/>
        <v>74.463769481199705</v>
      </c>
      <c r="AH33" s="357">
        <f t="shared" ca="1" si="28"/>
        <v>84.124733538249473</v>
      </c>
    </row>
    <row r="34" spans="1:34" x14ac:dyDescent="0.25">
      <c r="A34" s="402">
        <f t="shared" ca="1" si="6"/>
        <v>0.01</v>
      </c>
      <c r="B34" s="357">
        <f t="shared" ca="1" si="7"/>
        <v>0.3000000000000001</v>
      </c>
      <c r="C34" s="342"/>
      <c r="D34" s="359">
        <f t="shared" ca="1" si="8"/>
        <v>12.930064134184681</v>
      </c>
      <c r="E34" s="360">
        <f t="shared" ca="1" si="9"/>
        <v>73.334176632060448</v>
      </c>
      <c r="F34" s="357">
        <f t="shared" ca="1" si="10"/>
        <v>74.46534778550604</v>
      </c>
      <c r="G34" s="359">
        <f t="shared" ca="1" si="11"/>
        <v>3.7711755981086452</v>
      </c>
      <c r="H34" s="360">
        <f t="shared" ca="1" si="12"/>
        <v>21.388609771205317</v>
      </c>
      <c r="I34" s="357">
        <f t="shared" ca="1" si="13"/>
        <v>21.718526500125868</v>
      </c>
      <c r="J34" s="359">
        <f t="shared" ca="1" si="14"/>
        <v>0.51511146004645958</v>
      </c>
      <c r="K34" s="360">
        <f t="shared" ca="1" si="15"/>
        <v>2.9215094342123353</v>
      </c>
      <c r="L34" s="357">
        <f t="shared" ca="1" si="0"/>
        <v>2.9665733077850738</v>
      </c>
      <c r="M34" s="359">
        <f t="shared" ca="1" si="16"/>
        <v>1.3962634015954636</v>
      </c>
      <c r="N34" s="357">
        <f t="shared" ca="1" si="17"/>
        <v>80</v>
      </c>
      <c r="O34" s="343"/>
      <c r="P34" s="363">
        <f t="shared" ca="1" si="18"/>
        <v>5</v>
      </c>
      <c r="Q34" s="357">
        <f t="shared" ca="1" si="19"/>
        <v>1040.8333333333333</v>
      </c>
      <c r="R34" s="359">
        <f t="shared" ca="1" si="20"/>
        <v>0.5213869948660016</v>
      </c>
      <c r="S34" s="360">
        <f t="shared" ca="1" si="21"/>
        <v>12.357645432541279</v>
      </c>
      <c r="T34" s="357">
        <f t="shared" ca="1" si="1"/>
        <v>121.22850169322996</v>
      </c>
      <c r="U34" s="364">
        <f t="shared" ca="1" si="2"/>
        <v>21.05110840032177</v>
      </c>
      <c r="V34" s="359">
        <f t="shared" ca="1" si="3"/>
        <v>1.2246421673648802</v>
      </c>
      <c r="W34" s="357">
        <f t="shared" ca="1" si="4"/>
        <v>1.3190767513920525</v>
      </c>
      <c r="X34" s="343"/>
      <c r="Y34" s="367" t="str">
        <f t="shared" ca="1" si="22"/>
        <v/>
      </c>
      <c r="Z34" s="368" t="str">
        <f t="shared" ca="1" si="23"/>
        <v/>
      </c>
      <c r="AA34" s="369" t="str">
        <f t="shared" ca="1" si="24"/>
        <v/>
      </c>
      <c r="AB34" s="344"/>
      <c r="AC34" s="363" t="e">
        <f t="shared" ca="1" si="25"/>
        <v>#N/A</v>
      </c>
      <c r="AD34" s="376" t="e">
        <f t="shared" ca="1" si="26"/>
        <v>#N/A</v>
      </c>
      <c r="AE34" s="377">
        <f t="shared" ca="1" si="5"/>
        <v>2.9215094342123353</v>
      </c>
      <c r="AF34" s="344"/>
      <c r="AG34" s="359">
        <f t="shared" ca="1" si="27"/>
        <v>74.465347782037526</v>
      </c>
      <c r="AH34" s="357">
        <f t="shared" ca="1" si="28"/>
        <v>84.126311839087293</v>
      </c>
    </row>
    <row r="35" spans="1:34" x14ac:dyDescent="0.25">
      <c r="A35" s="402">
        <f t="shared" ca="1" si="6"/>
        <v>0.01</v>
      </c>
      <c r="B35" s="357">
        <f t="shared" ca="1" si="7"/>
        <v>0.31000000000000011</v>
      </c>
      <c r="C35" s="342"/>
      <c r="D35" s="359">
        <f t="shared" ca="1" si="8"/>
        <v>12.930292827465706</v>
      </c>
      <c r="E35" s="360">
        <f t="shared" ca="1" si="9"/>
        <v>73.33547403648727</v>
      </c>
      <c r="F35" s="357">
        <f t="shared" ca="1" si="10"/>
        <v>74.466665191616514</v>
      </c>
      <c r="G35" s="359">
        <f t="shared" ca="1" si="11"/>
        <v>3.9004785263833024</v>
      </c>
      <c r="H35" s="360">
        <f t="shared" ca="1" si="12"/>
        <v>22.121964511570191</v>
      </c>
      <c r="I35" s="357">
        <f t="shared" ca="1" si="13"/>
        <v>22.463193152042034</v>
      </c>
      <c r="J35" s="359">
        <f t="shared" ca="1" si="14"/>
        <v>0.55346973066891936</v>
      </c>
      <c r="K35" s="360">
        <f t="shared" ca="1" si="15"/>
        <v>3.1390623056262128</v>
      </c>
      <c r="L35" s="357">
        <f t="shared" ca="1" si="0"/>
        <v>3.1874819060459121</v>
      </c>
      <c r="M35" s="359">
        <f t="shared" ca="1" si="16"/>
        <v>1.3962634015954636</v>
      </c>
      <c r="N35" s="357">
        <f t="shared" ca="1" si="17"/>
        <v>80</v>
      </c>
      <c r="O35" s="343"/>
      <c r="P35" s="363">
        <f t="shared" ca="1" si="18"/>
        <v>5</v>
      </c>
      <c r="Q35" s="357">
        <f t="shared" ca="1" si="19"/>
        <v>1040.5</v>
      </c>
      <c r="R35" s="359">
        <f t="shared" ca="1" si="20"/>
        <v>0.52122001744570823</v>
      </c>
      <c r="S35" s="360">
        <f t="shared" ca="1" si="21"/>
        <v>12.352433232366822</v>
      </c>
      <c r="T35" s="357">
        <f t="shared" ca="1" si="1"/>
        <v>121.17737000951853</v>
      </c>
      <c r="U35" s="364">
        <f t="shared" ca="1" si="2"/>
        <v>21.042229476624239</v>
      </c>
      <c r="V35" s="359">
        <f t="shared" ca="1" si="3"/>
        <v>1.2246155252120767</v>
      </c>
      <c r="W35" s="357">
        <f t="shared" ca="1" si="4"/>
        <v>1.4110515708227362</v>
      </c>
      <c r="X35" s="343"/>
      <c r="Y35" s="367" t="str">
        <f t="shared" ca="1" si="22"/>
        <v/>
      </c>
      <c r="Z35" s="368" t="str">
        <f t="shared" ca="1" si="23"/>
        <v/>
      </c>
      <c r="AA35" s="369" t="str">
        <f t="shared" ca="1" si="24"/>
        <v/>
      </c>
      <c r="AB35" s="344"/>
      <c r="AC35" s="363" t="e">
        <f t="shared" ca="1" si="25"/>
        <v>#N/A</v>
      </c>
      <c r="AD35" s="376" t="e">
        <f t="shared" ca="1" si="26"/>
        <v>#N/A</v>
      </c>
      <c r="AE35" s="377">
        <f t="shared" ca="1" si="5"/>
        <v>3.1390623056262128</v>
      </c>
      <c r="AF35" s="344"/>
      <c r="AG35" s="359">
        <f t="shared" ca="1" si="27"/>
        <v>74.46666518814736</v>
      </c>
      <c r="AH35" s="357">
        <f t="shared" ca="1" si="28"/>
        <v>84.127629245197127</v>
      </c>
    </row>
    <row r="36" spans="1:34" x14ac:dyDescent="0.25">
      <c r="A36" s="402">
        <f t="shared" ca="1" si="6"/>
        <v>0.01</v>
      </c>
      <c r="B36" s="357">
        <f t="shared" ca="1" si="7"/>
        <v>0.32000000000000012</v>
      </c>
      <c r="C36" s="342"/>
      <c r="D36" s="359">
        <f t="shared" ca="1" si="8"/>
        <v>12.930476166758897</v>
      </c>
      <c r="E36" s="360">
        <f t="shared" ca="1" si="9"/>
        <v>73.336514225462523</v>
      </c>
      <c r="F36" s="357">
        <f t="shared" ca="1" si="10"/>
        <v>74.467721414318746</v>
      </c>
      <c r="G36" s="359">
        <f t="shared" ca="1" si="11"/>
        <v>4.0297832880508917</v>
      </c>
      <c r="H36" s="360">
        <f t="shared" ca="1" si="12"/>
        <v>22.855329653824818</v>
      </c>
      <c r="I36" s="357">
        <f t="shared" ca="1" si="13"/>
        <v>23.207870366185222</v>
      </c>
      <c r="J36" s="359">
        <f t="shared" ca="1" si="14"/>
        <v>0.59312103974109032</v>
      </c>
      <c r="K36" s="360">
        <f t="shared" ca="1" si="15"/>
        <v>3.3639487764531877</v>
      </c>
      <c r="L36" s="357">
        <f t="shared" ca="1" si="0"/>
        <v>3.4158372236370473</v>
      </c>
      <c r="M36" s="359">
        <f t="shared" ca="1" si="16"/>
        <v>1.3962634015954636</v>
      </c>
      <c r="N36" s="357">
        <f t="shared" ca="1" si="17"/>
        <v>80</v>
      </c>
      <c r="O36" s="343"/>
      <c r="P36" s="363">
        <f t="shared" ca="1" si="18"/>
        <v>5</v>
      </c>
      <c r="Q36" s="357">
        <f t="shared" ca="1" si="19"/>
        <v>1040.1666666666667</v>
      </c>
      <c r="R36" s="359">
        <f t="shared" ca="1" si="20"/>
        <v>0.52105304002541497</v>
      </c>
      <c r="S36" s="360">
        <f t="shared" ca="1" si="21"/>
        <v>12.347222701966569</v>
      </c>
      <c r="T36" s="357">
        <f t="shared" ca="1" si="1"/>
        <v>121.12625470629204</v>
      </c>
      <c r="U36" s="364">
        <f t="shared" ca="1" si="2"/>
        <v>21.033353397368067</v>
      </c>
      <c r="V36" s="359">
        <f t="shared" ca="1" si="3"/>
        <v>1.2245879855746558</v>
      </c>
      <c r="W36" s="357">
        <f t="shared" ca="1" si="4"/>
        <v>1.5061239576289729</v>
      </c>
      <c r="X36" s="343"/>
      <c r="Y36" s="367" t="str">
        <f t="shared" ca="1" si="22"/>
        <v/>
      </c>
      <c r="Z36" s="368" t="str">
        <f t="shared" ca="1" si="23"/>
        <v/>
      </c>
      <c r="AA36" s="369" t="str">
        <f t="shared" ca="1" si="24"/>
        <v/>
      </c>
      <c r="AB36" s="344"/>
      <c r="AC36" s="363" t="e">
        <f t="shared" ca="1" si="25"/>
        <v>#N/A</v>
      </c>
      <c r="AD36" s="376" t="e">
        <f t="shared" ca="1" si="26"/>
        <v>#N/A</v>
      </c>
      <c r="AE36" s="377">
        <f t="shared" ca="1" si="5"/>
        <v>3.3639487764531877</v>
      </c>
      <c r="AF36" s="344"/>
      <c r="AG36" s="359">
        <f t="shared" ca="1" si="27"/>
        <v>74.467721410848952</v>
      </c>
      <c r="AH36" s="357">
        <f t="shared" ca="1" si="28"/>
        <v>84.128685467898705</v>
      </c>
    </row>
    <row r="37" spans="1:34" x14ac:dyDescent="0.25">
      <c r="A37" s="402">
        <f t="shared" ca="1" si="6"/>
        <v>0.01</v>
      </c>
      <c r="B37" s="357">
        <f t="shared" ca="1" si="7"/>
        <v>0.33000000000000013</v>
      </c>
      <c r="C37" s="342"/>
      <c r="D37" s="359">
        <f t="shared" ca="1" si="8"/>
        <v>12.930614102695976</v>
      </c>
      <c r="E37" s="360">
        <f t="shared" ca="1" si="9"/>
        <v>73.337296919004345</v>
      </c>
      <c r="F37" s="357">
        <f t="shared" ca="1" si="10"/>
        <v>74.468516169311741</v>
      </c>
      <c r="G37" s="359">
        <f t="shared" ca="1" si="11"/>
        <v>4.1590894290778513</v>
      </c>
      <c r="H37" s="360">
        <f t="shared" ca="1" si="12"/>
        <v>23.588702623014861</v>
      </c>
      <c r="I37" s="357">
        <f t="shared" ca="1" si="13"/>
        <v>23.952555527878342</v>
      </c>
      <c r="J37" s="359">
        <f t="shared" ca="1" si="14"/>
        <v>0.634065403326734</v>
      </c>
      <c r="K37" s="360">
        <f t="shared" ca="1" si="15"/>
        <v>3.596168937837386</v>
      </c>
      <c r="L37" s="357">
        <f t="shared" ca="1" si="0"/>
        <v>3.6516393531073637</v>
      </c>
      <c r="M37" s="359">
        <f t="shared" ca="1" si="16"/>
        <v>1.3962634015954636</v>
      </c>
      <c r="N37" s="357">
        <f t="shared" ca="1" si="17"/>
        <v>80</v>
      </c>
      <c r="O37" s="343"/>
      <c r="P37" s="363">
        <f t="shared" ca="1" si="18"/>
        <v>5</v>
      </c>
      <c r="Q37" s="357">
        <f t="shared" ca="1" si="19"/>
        <v>1039.8333333333333</v>
      </c>
      <c r="R37" s="359">
        <f t="shared" ca="1" si="20"/>
        <v>0.52088606260512149</v>
      </c>
      <c r="S37" s="360">
        <f t="shared" ca="1" si="21"/>
        <v>12.342013841340517</v>
      </c>
      <c r="T37" s="357">
        <f t="shared" ca="1" si="1"/>
        <v>121.07515578355047</v>
      </c>
      <c r="U37" s="364">
        <f t="shared" ca="1" si="2"/>
        <v>21.02448016255325</v>
      </c>
      <c r="V37" s="359">
        <f t="shared" ca="1" si="3"/>
        <v>1.2245595485020146</v>
      </c>
      <c r="W37" s="357">
        <f t="shared" ca="1" si="4"/>
        <v>1.6042932751590357</v>
      </c>
      <c r="X37" s="343"/>
      <c r="Y37" s="367" t="str">
        <f t="shared" ca="1" si="22"/>
        <v/>
      </c>
      <c r="Z37" s="368" t="str">
        <f t="shared" ca="1" si="23"/>
        <v/>
      </c>
      <c r="AA37" s="369" t="str">
        <f t="shared" ca="1" si="24"/>
        <v/>
      </c>
      <c r="AB37" s="344"/>
      <c r="AC37" s="363" t="e">
        <f t="shared" ca="1" si="25"/>
        <v>#N/A</v>
      </c>
      <c r="AD37" s="376" t="e">
        <f t="shared" ca="1" si="26"/>
        <v>#N/A</v>
      </c>
      <c r="AE37" s="377">
        <f t="shared" ca="1" si="5"/>
        <v>3.596168937837386</v>
      </c>
      <c r="AF37" s="344"/>
      <c r="AG37" s="359">
        <f t="shared" ca="1" si="27"/>
        <v>74.468516165841265</v>
      </c>
      <c r="AH37" s="357">
        <f t="shared" ca="1" si="28"/>
        <v>84.129480222891033</v>
      </c>
    </row>
    <row r="38" spans="1:34" x14ac:dyDescent="0.25">
      <c r="A38" s="402">
        <f t="shared" ca="1" si="6"/>
        <v>0.01</v>
      </c>
      <c r="B38" s="357">
        <f t="shared" ca="1" si="7"/>
        <v>0.34000000000000014</v>
      </c>
      <c r="C38" s="342"/>
      <c r="D38" s="359">
        <f t="shared" ca="1" si="8"/>
        <v>12.930706586671425</v>
      </c>
      <c r="E38" s="360">
        <f t="shared" ca="1" si="9"/>
        <v>73.337821841456702</v>
      </c>
      <c r="F38" s="357">
        <f t="shared" ca="1" si="10"/>
        <v>74.469049176687022</v>
      </c>
      <c r="G38" s="359">
        <f t="shared" ca="1" si="11"/>
        <v>4.2883964949445659</v>
      </c>
      <c r="H38" s="360">
        <f t="shared" ca="1" si="12"/>
        <v>24.322080841429429</v>
      </c>
      <c r="I38" s="357">
        <f t="shared" ca="1" si="13"/>
        <v>24.697246019645213</v>
      </c>
      <c r="J38" s="359">
        <f t="shared" ca="1" si="14"/>
        <v>0.67630283294684612</v>
      </c>
      <c r="K38" s="360">
        <f t="shared" ca="1" si="15"/>
        <v>3.8357228551596076</v>
      </c>
      <c r="L38" s="357">
        <f t="shared" ca="1" si="0"/>
        <v>3.8948883608449809</v>
      </c>
      <c r="M38" s="359">
        <f t="shared" ca="1" si="16"/>
        <v>1.3962634015954636</v>
      </c>
      <c r="N38" s="357">
        <f t="shared" ca="1" si="17"/>
        <v>80</v>
      </c>
      <c r="O38" s="343"/>
      <c r="P38" s="363">
        <f t="shared" ca="1" si="18"/>
        <v>5</v>
      </c>
      <c r="Q38" s="357">
        <f t="shared" ca="1" si="19"/>
        <v>1039.5</v>
      </c>
      <c r="R38" s="359">
        <f t="shared" ca="1" si="20"/>
        <v>0.52071908518482812</v>
      </c>
      <c r="S38" s="360">
        <f t="shared" ca="1" si="21"/>
        <v>12.336806650488668</v>
      </c>
      <c r="T38" s="357">
        <f t="shared" ca="1" si="1"/>
        <v>121.02407324129385</v>
      </c>
      <c r="U38" s="364">
        <f t="shared" ca="1" si="2"/>
        <v>21.015609772179793</v>
      </c>
      <c r="V38" s="359">
        <f t="shared" ca="1" si="3"/>
        <v>1.2245302140486785</v>
      </c>
      <c r="W38" s="357">
        <f t="shared" ca="1" si="4"/>
        <v>1.7055588292206409</v>
      </c>
      <c r="X38" s="343"/>
      <c r="Y38" s="367" t="str">
        <f t="shared" ca="1" si="22"/>
        <v>Sortie de rampe</v>
      </c>
      <c r="Z38" s="368" t="str">
        <f t="shared" ca="1" si="23"/>
        <v/>
      </c>
      <c r="AA38" s="369" t="str">
        <f t="shared" ca="1" si="24"/>
        <v/>
      </c>
      <c r="AB38" s="344"/>
      <c r="AC38" s="363" t="e">
        <f t="shared" ca="1" si="25"/>
        <v>#N/A</v>
      </c>
      <c r="AD38" s="376" t="e">
        <f t="shared" ca="1" si="26"/>
        <v>#N/A</v>
      </c>
      <c r="AE38" s="377">
        <f t="shared" ca="1" si="5"/>
        <v>3.8357228551596076</v>
      </c>
      <c r="AF38" s="344"/>
      <c r="AG38" s="359">
        <f t="shared" ca="1" si="27"/>
        <v>74.469049173215879</v>
      </c>
      <c r="AH38" s="357">
        <f t="shared" ca="1" si="28"/>
        <v>84.130013230265646</v>
      </c>
    </row>
    <row r="39" spans="1:34" x14ac:dyDescent="0.25">
      <c r="A39" s="402">
        <f t="shared" ca="1" si="6"/>
        <v>0.01</v>
      </c>
      <c r="B39" s="357">
        <f t="shared" ca="1" si="7"/>
        <v>0.35000000000000014</v>
      </c>
      <c r="C39" s="342"/>
      <c r="D39" s="359">
        <f t="shared" ca="1" si="8"/>
        <v>12.930753570844812</v>
      </c>
      <c r="E39" s="360">
        <f t="shared" ca="1" si="9"/>
        <v>73.338088721502629</v>
      </c>
      <c r="F39" s="357">
        <f t="shared" ca="1" si="10"/>
        <v>74.469320160942161</v>
      </c>
      <c r="G39" s="359">
        <f t="shared" ca="1" si="11"/>
        <v>4.417704030653014</v>
      </c>
      <c r="H39" s="360">
        <f t="shared" ca="1" si="12"/>
        <v>25.055461728644456</v>
      </c>
      <c r="I39" s="357">
        <f t="shared" ca="1" si="13"/>
        <v>25.441939221254636</v>
      </c>
      <c r="J39" s="359">
        <f t="shared" ca="1" si="14"/>
        <v>0.71983333557483398</v>
      </c>
      <c r="K39" s="360">
        <f t="shared" ca="1" si="15"/>
        <v>4.0826105680099767</v>
      </c>
      <c r="L39" s="357">
        <f t="shared" ca="1" si="0"/>
        <v>4.1455842870494788</v>
      </c>
      <c r="M39" s="359">
        <f t="shared" ca="1" si="16"/>
        <v>1.3962634015954636</v>
      </c>
      <c r="N39" s="357">
        <f t="shared" ca="1" si="17"/>
        <v>80</v>
      </c>
      <c r="O39" s="343"/>
      <c r="P39" s="363">
        <f t="shared" ca="1" si="18"/>
        <v>5</v>
      </c>
      <c r="Q39" s="357">
        <f t="shared" ca="1" si="19"/>
        <v>1039.1666666666667</v>
      </c>
      <c r="R39" s="359">
        <f t="shared" ca="1" si="20"/>
        <v>0.52055210776453487</v>
      </c>
      <c r="S39" s="360">
        <f t="shared" ca="1" si="21"/>
        <v>12.331601129411023</v>
      </c>
      <c r="T39" s="357">
        <f t="shared" ca="1" si="1"/>
        <v>120.97300707952215</v>
      </c>
      <c r="U39" s="364">
        <f t="shared" ca="1" si="2"/>
        <v>0</v>
      </c>
      <c r="V39" s="359">
        <f t="shared" ca="1" si="3"/>
        <v>1.2244999822743015</v>
      </c>
      <c r="W39" s="357">
        <f t="shared" ca="1" si="4"/>
        <v>1.8099198680384254</v>
      </c>
      <c r="X39" s="343"/>
      <c r="Y39" s="367" t="str">
        <f t="shared" ca="1" si="22"/>
        <v/>
      </c>
      <c r="Z39" s="368" t="str">
        <f t="shared" ca="1" si="23"/>
        <v/>
      </c>
      <c r="AA39" s="369" t="str">
        <f t="shared" ca="1" si="24"/>
        <v/>
      </c>
      <c r="AB39" s="344"/>
      <c r="AC39" s="363" t="e">
        <f t="shared" ca="1" si="25"/>
        <v>#N/A</v>
      </c>
      <c r="AD39" s="376" t="e">
        <f t="shared" ca="1" si="26"/>
        <v>#N/A</v>
      </c>
      <c r="AE39" s="377">
        <f t="shared" ca="1" si="5"/>
        <v>4.0826105680099767</v>
      </c>
      <c r="AF39" s="344"/>
      <c r="AG39" s="359">
        <f t="shared" ca="1" si="27"/>
        <v>74.469320157470321</v>
      </c>
      <c r="AH39" s="357">
        <f t="shared" ca="1" si="28"/>
        <v>84.130284214520074</v>
      </c>
    </row>
    <row r="40" spans="1:34" x14ac:dyDescent="0.25">
      <c r="A40" s="402">
        <f t="shared" ca="1" si="6"/>
        <v>0.01</v>
      </c>
      <c r="B40" s="357">
        <f t="shared" ca="1" si="7"/>
        <v>0.36000000000000015</v>
      </c>
      <c r="C40" s="342"/>
      <c r="D40" s="359">
        <f t="shared" ca="1" si="8"/>
        <v>14.609072049463801</v>
      </c>
      <c r="E40" s="360">
        <f t="shared" ca="1" si="9"/>
        <v>73.04216471560926</v>
      </c>
      <c r="F40" s="357">
        <f t="shared" ca="1" si="10"/>
        <v>74.488809981692</v>
      </c>
      <c r="G40" s="359">
        <f t="shared" ca="1" si="11"/>
        <v>4.5637947511476522</v>
      </c>
      <c r="H40" s="360">
        <f t="shared" ca="1" si="12"/>
        <v>25.785883375800548</v>
      </c>
      <c r="I40" s="357">
        <f t="shared" ca="1" si="13"/>
        <v>26.186637890362899</v>
      </c>
      <c r="J40" s="359">
        <f t="shared" ca="1" si="14"/>
        <v>0.76474082948383737</v>
      </c>
      <c r="K40" s="360">
        <f t="shared" ca="1" si="15"/>
        <v>4.336817293532202</v>
      </c>
      <c r="L40" s="357">
        <f t="shared" ca="1" si="0"/>
        <v>4.4037271456982436</v>
      </c>
      <c r="M40" s="359">
        <f t="shared" ca="1" si="16"/>
        <v>1.3956222808235916</v>
      </c>
      <c r="N40" s="357">
        <f t="shared" ca="1" si="17"/>
        <v>79.963266485613559</v>
      </c>
      <c r="O40" s="343"/>
      <c r="P40" s="363">
        <f t="shared" ca="1" si="18"/>
        <v>5</v>
      </c>
      <c r="Q40" s="357">
        <f t="shared" ca="1" si="19"/>
        <v>1038.8333333333333</v>
      </c>
      <c r="R40" s="359">
        <f t="shared" ca="1" si="20"/>
        <v>0.52038513034424139</v>
      </c>
      <c r="S40" s="360">
        <f t="shared" ca="1" si="21"/>
        <v>12.326397278107581</v>
      </c>
      <c r="T40" s="357">
        <f t="shared" ca="1" si="1"/>
        <v>120.92195729823538</v>
      </c>
      <c r="U40" s="364">
        <f t="shared" ca="1" si="2"/>
        <v>0</v>
      </c>
      <c r="V40" s="359">
        <f t="shared" ca="1" si="3"/>
        <v>1.2244688550554712</v>
      </c>
      <c r="W40" s="357">
        <f t="shared" ca="1" si="4"/>
        <v>1.9173763729816198</v>
      </c>
      <c r="X40" s="343"/>
      <c r="Y40" s="367" t="str">
        <f t="shared" ca="1" si="22"/>
        <v/>
      </c>
      <c r="Z40" s="368" t="str">
        <f t="shared" ca="1" si="23"/>
        <v/>
      </c>
      <c r="AA40" s="369" t="str">
        <f t="shared" ca="1" si="24"/>
        <v/>
      </c>
      <c r="AB40" s="344"/>
      <c r="AC40" s="363" t="e">
        <f t="shared" ca="1" si="25"/>
        <v>#N/A</v>
      </c>
      <c r="AD40" s="376" t="e">
        <f t="shared" ca="1" si="26"/>
        <v>#N/A</v>
      </c>
      <c r="AE40" s="377">
        <f t="shared" ca="1" si="5"/>
        <v>4.336817293532202</v>
      </c>
      <c r="AF40" s="344"/>
      <c r="AG40" s="359">
        <f t="shared" ca="1" si="27"/>
        <v>74.469328847521012</v>
      </c>
      <c r="AH40" s="357">
        <f t="shared" ca="1" si="28"/>
        <v>84.13029290457078</v>
      </c>
    </row>
    <row r="41" spans="1:34" x14ac:dyDescent="0.25">
      <c r="A41" s="402">
        <f t="shared" ca="1" si="6"/>
        <v>0.01</v>
      </c>
      <c r="B41" s="357">
        <f t="shared" ca="1" si="7"/>
        <v>0.37000000000000016</v>
      </c>
      <c r="C41" s="342"/>
      <c r="D41" s="359">
        <f t="shared" ca="1" si="8"/>
        <v>14.662143031524813</v>
      </c>
      <c r="E41" s="360">
        <f t="shared" ca="1" si="9"/>
        <v>73.032531460278975</v>
      </c>
      <c r="F41" s="357">
        <f t="shared" ca="1" si="10"/>
        <v>74.489791849444245</v>
      </c>
      <c r="G41" s="359">
        <f t="shared" ca="1" si="11"/>
        <v>4.7104161814629002</v>
      </c>
      <c r="H41" s="360">
        <f t="shared" ca="1" si="12"/>
        <v>26.516208690403339</v>
      </c>
      <c r="I41" s="357">
        <f t="shared" ca="1" si="13"/>
        <v>26.931345007548526</v>
      </c>
      <c r="J41" s="359">
        <f t="shared" ca="1" si="14"/>
        <v>0.81111188414689017</v>
      </c>
      <c r="K41" s="360">
        <f t="shared" ca="1" si="15"/>
        <v>4.5983277538632219</v>
      </c>
      <c r="L41" s="357">
        <f t="shared" ca="1" si="0"/>
        <v>4.6693169329735049</v>
      </c>
      <c r="M41" s="359">
        <f t="shared" ca="1" si="16"/>
        <v>1.3949874509510096</v>
      </c>
      <c r="N41" s="357">
        <f t="shared" ca="1" si="17"/>
        <v>79.926893413205789</v>
      </c>
      <c r="O41" s="343"/>
      <c r="P41" s="363">
        <f t="shared" ca="1" si="18"/>
        <v>5</v>
      </c>
      <c r="Q41" s="357">
        <f t="shared" ca="1" si="19"/>
        <v>1038.5</v>
      </c>
      <c r="R41" s="359">
        <f t="shared" ca="1" si="20"/>
        <v>0.52021815292394813</v>
      </c>
      <c r="S41" s="360">
        <f t="shared" ca="1" si="21"/>
        <v>12.321195096578341</v>
      </c>
      <c r="T41" s="357">
        <f t="shared" ca="1" si="1"/>
        <v>120.87092389743353</v>
      </c>
      <c r="U41" s="364">
        <f t="shared" ca="1" si="2"/>
        <v>0</v>
      </c>
      <c r="V41" s="359">
        <f t="shared" ca="1" si="3"/>
        <v>1.2244368343311682</v>
      </c>
      <c r="W41" s="357">
        <f t="shared" ca="1" si="4"/>
        <v>2.0279283920253395</v>
      </c>
      <c r="X41" s="343"/>
      <c r="Y41" s="367" t="str">
        <f t="shared" ca="1" si="22"/>
        <v/>
      </c>
      <c r="Z41" s="368" t="str">
        <f t="shared" ca="1" si="23"/>
        <v/>
      </c>
      <c r="AA41" s="369" t="str">
        <f t="shared" ca="1" si="24"/>
        <v/>
      </c>
      <c r="AB41" s="344"/>
      <c r="AC41" s="363" t="e">
        <f t="shared" ca="1" si="25"/>
        <v>#N/A</v>
      </c>
      <c r="AD41" s="376" t="e">
        <f t="shared" ca="1" si="26"/>
        <v>#N/A</v>
      </c>
      <c r="AE41" s="377">
        <f t="shared" ca="1" si="5"/>
        <v>4.5983277538632219</v>
      </c>
      <c r="AF41" s="344"/>
      <c r="AG41" s="359">
        <f t="shared" ca="1" si="27"/>
        <v>74.470169039904277</v>
      </c>
      <c r="AH41" s="357">
        <f t="shared" ca="1" si="28"/>
        <v>84.130038969586863</v>
      </c>
    </row>
    <row r="42" spans="1:34" x14ac:dyDescent="0.25">
      <c r="A42" s="402">
        <f t="shared" ca="1" si="6"/>
        <v>0.01</v>
      </c>
      <c r="B42" s="357">
        <f t="shared" ca="1" si="7"/>
        <v>0.38000000000000017</v>
      </c>
      <c r="C42" s="342"/>
      <c r="D42" s="359">
        <f t="shared" ca="1" si="8"/>
        <v>14.714640579601555</v>
      </c>
      <c r="E42" s="360">
        <f t="shared" ca="1" si="9"/>
        <v>73.022697872529861</v>
      </c>
      <c r="F42" s="357">
        <f t="shared" ca="1" si="10"/>
        <v>74.490503099184622</v>
      </c>
      <c r="G42" s="359">
        <f t="shared" ca="1" si="11"/>
        <v>4.8575625872589159</v>
      </c>
      <c r="H42" s="360">
        <f t="shared" ca="1" si="12"/>
        <v>27.246435669128637</v>
      </c>
      <c r="I42" s="357">
        <f t="shared" ca="1" si="13"/>
        <v>27.676057720728629</v>
      </c>
      <c r="J42" s="359">
        <f t="shared" ca="1" si="14"/>
        <v>0.85895177799049927</v>
      </c>
      <c r="K42" s="360">
        <f t="shared" ca="1" si="15"/>
        <v>4.8671409756608819</v>
      </c>
      <c r="L42" s="357">
        <f t="shared" ca="1" si="0"/>
        <v>4.9423536330244726</v>
      </c>
      <c r="M42" s="359">
        <f t="shared" ca="1" si="16"/>
        <v>1.3943674875611991</v>
      </c>
      <c r="N42" s="357">
        <f t="shared" ca="1" si="17"/>
        <v>79.891372127517016</v>
      </c>
      <c r="O42" s="343"/>
      <c r="P42" s="363">
        <f t="shared" ca="1" si="18"/>
        <v>5</v>
      </c>
      <c r="Q42" s="357">
        <f t="shared" ca="1" si="19"/>
        <v>1038.1666666666667</v>
      </c>
      <c r="R42" s="359">
        <f t="shared" ca="1" si="20"/>
        <v>0.52005117550365476</v>
      </c>
      <c r="S42" s="360">
        <f t="shared" ca="1" si="21"/>
        <v>12.315994584823304</v>
      </c>
      <c r="T42" s="357">
        <f t="shared" ca="1" si="1"/>
        <v>120.81990687711662</v>
      </c>
      <c r="U42" s="364">
        <f t="shared" ca="1" si="2"/>
        <v>0</v>
      </c>
      <c r="V42" s="359">
        <f t="shared" ca="1" si="3"/>
        <v>1.2244039202906807</v>
      </c>
      <c r="W42" s="357">
        <f t="shared" ca="1" si="4"/>
        <v>2.1415751041234312</v>
      </c>
      <c r="X42" s="343"/>
      <c r="Y42" s="367" t="str">
        <f t="shared" ca="1" si="22"/>
        <v/>
      </c>
      <c r="Z42" s="368" t="str">
        <f t="shared" ca="1" si="23"/>
        <v/>
      </c>
      <c r="AA42" s="369" t="str">
        <f t="shared" ca="1" si="24"/>
        <v/>
      </c>
      <c r="AB42" s="344"/>
      <c r="AC42" s="363" t="e">
        <f t="shared" ca="1" si="25"/>
        <v>#N/A</v>
      </c>
      <c r="AD42" s="376" t="e">
        <f t="shared" ca="1" si="26"/>
        <v>#N/A</v>
      </c>
      <c r="AE42" s="377">
        <f t="shared" ca="1" si="5"/>
        <v>4.8671409756608819</v>
      </c>
      <c r="AF42" s="344"/>
      <c r="AG42" s="359">
        <f t="shared" ca="1" si="27"/>
        <v>74.47073944701593</v>
      </c>
      <c r="AH42" s="357">
        <f t="shared" ca="1" si="28"/>
        <v>84.129522072983818</v>
      </c>
    </row>
    <row r="43" spans="1:34" x14ac:dyDescent="0.25">
      <c r="A43" s="402">
        <f t="shared" ca="1" si="6"/>
        <v>0.01</v>
      </c>
      <c r="B43" s="357">
        <f t="shared" ca="1" si="7"/>
        <v>0.39000000000000018</v>
      </c>
      <c r="C43" s="342"/>
      <c r="D43" s="359">
        <f t="shared" ca="1" si="8"/>
        <v>14.765854065107417</v>
      </c>
      <c r="E43" s="360">
        <f t="shared" ca="1" si="9"/>
        <v>73.01279140158546</v>
      </c>
      <c r="F43" s="357">
        <f t="shared" ca="1" si="10"/>
        <v>74.49092665904675</v>
      </c>
      <c r="G43" s="359">
        <f t="shared" ca="1" si="11"/>
        <v>5.0052211279099899</v>
      </c>
      <c r="H43" s="360">
        <f t="shared" ca="1" si="12"/>
        <v>27.976563583144493</v>
      </c>
      <c r="I43" s="357">
        <f t="shared" ca="1" si="13"/>
        <v>28.420773185488873</v>
      </c>
      <c r="J43" s="359">
        <f t="shared" ca="1" si="14"/>
        <v>0.90826569656634382</v>
      </c>
      <c r="K43" s="360">
        <f t="shared" ca="1" si="15"/>
        <v>5.1432559719222475</v>
      </c>
      <c r="L43" s="357">
        <f t="shared" ca="1" si="0"/>
        <v>5.2228372144144997</v>
      </c>
      <c r="M43" s="359">
        <f t="shared" ca="1" si="16"/>
        <v>1.3937616623777036</v>
      </c>
      <c r="N43" s="357">
        <f t="shared" ca="1" si="17"/>
        <v>79.856660901379996</v>
      </c>
      <c r="O43" s="343"/>
      <c r="P43" s="363">
        <f t="shared" ca="1" si="18"/>
        <v>5</v>
      </c>
      <c r="Q43" s="357">
        <f t="shared" ca="1" si="19"/>
        <v>1037.8333333333333</v>
      </c>
      <c r="R43" s="359">
        <f t="shared" ca="1" si="20"/>
        <v>0.51988419808336139</v>
      </c>
      <c r="S43" s="360">
        <f t="shared" ca="1" si="21"/>
        <v>12.310795742842471</v>
      </c>
      <c r="T43" s="357">
        <f t="shared" ca="1" si="1"/>
        <v>120.76890623728464</v>
      </c>
      <c r="U43" s="364">
        <f t="shared" ca="1" si="2"/>
        <v>0</v>
      </c>
      <c r="V43" s="359">
        <f t="shared" ca="1" si="3"/>
        <v>1.2243701131269109</v>
      </c>
      <c r="W43" s="357">
        <f t="shared" ca="1" si="4"/>
        <v>2.2583156284748904</v>
      </c>
      <c r="X43" s="343"/>
      <c r="Y43" s="367" t="str">
        <f t="shared" ca="1" si="22"/>
        <v/>
      </c>
      <c r="Z43" s="368" t="str">
        <f t="shared" ca="1" si="23"/>
        <v/>
      </c>
      <c r="AA43" s="369" t="str">
        <f t="shared" ca="1" si="24"/>
        <v/>
      </c>
      <c r="AB43" s="344"/>
      <c r="AC43" s="363" t="e">
        <f t="shared" ca="1" si="25"/>
        <v>#N/A</v>
      </c>
      <c r="AD43" s="376" t="e">
        <f t="shared" ca="1" si="26"/>
        <v>#N/A</v>
      </c>
      <c r="AE43" s="377">
        <f t="shared" ca="1" si="5"/>
        <v>5.1432559719222475</v>
      </c>
      <c r="AF43" s="344"/>
      <c r="AG43" s="359">
        <f t="shared" ca="1" si="27"/>
        <v>74.471024920529601</v>
      </c>
      <c r="AH43" s="357">
        <f t="shared" ca="1" si="28"/>
        <v>84.128741948412539</v>
      </c>
    </row>
    <row r="44" spans="1:34" x14ac:dyDescent="0.25">
      <c r="A44" s="402">
        <f t="shared" ca="1" si="6"/>
        <v>0.01</v>
      </c>
      <c r="B44" s="357">
        <f t="shared" ca="1" si="7"/>
        <v>0.40000000000000019</v>
      </c>
      <c r="C44" s="342"/>
      <c r="D44" s="359">
        <f t="shared" ca="1" si="8"/>
        <v>14.815843692791933</v>
      </c>
      <c r="E44" s="360">
        <f t="shared" ca="1" si="9"/>
        <v>73.002803374064598</v>
      </c>
      <c r="F44" s="357">
        <f t="shared" ca="1" si="10"/>
        <v>74.491063388849398</v>
      </c>
      <c r="G44" s="359">
        <f t="shared" ca="1" si="11"/>
        <v>5.153379564837909</v>
      </c>
      <c r="H44" s="360">
        <f t="shared" ca="1" si="12"/>
        <v>28.706591616885138</v>
      </c>
      <c r="I44" s="357">
        <f t="shared" ca="1" si="13"/>
        <v>29.165488564361631</v>
      </c>
      <c r="J44" s="359">
        <f t="shared" ca="1" si="14"/>
        <v>0.95905870003008331</v>
      </c>
      <c r="K44" s="360">
        <f t="shared" ca="1" si="15"/>
        <v>5.4266717479223958</v>
      </c>
      <c r="L44" s="357">
        <f t="shared" ca="1" si="0"/>
        <v>5.5107676279990701</v>
      </c>
      <c r="M44" s="359">
        <f t="shared" ca="1" si="16"/>
        <v>1.393169300423341</v>
      </c>
      <c r="N44" s="357">
        <f t="shared" ca="1" si="17"/>
        <v>79.822721061450892</v>
      </c>
      <c r="O44" s="343"/>
      <c r="P44" s="363">
        <f t="shared" ca="1" si="18"/>
        <v>5</v>
      </c>
      <c r="Q44" s="357">
        <f t="shared" ca="1" si="19"/>
        <v>1037.5</v>
      </c>
      <c r="R44" s="359">
        <f t="shared" ca="1" si="20"/>
        <v>0.51971722066306802</v>
      </c>
      <c r="S44" s="360">
        <f t="shared" ca="1" si="21"/>
        <v>12.305598570635841</v>
      </c>
      <c r="T44" s="357">
        <f t="shared" ca="1" si="1"/>
        <v>120.71792197793761</v>
      </c>
      <c r="U44" s="364">
        <f t="shared" ca="1" si="2"/>
        <v>0</v>
      </c>
      <c r="V44" s="359">
        <f t="shared" ca="1" si="3"/>
        <v>1.2243354130356447</v>
      </c>
      <c r="W44" s="357">
        <f t="shared" ca="1" si="4"/>
        <v>2.3781490245792991</v>
      </c>
      <c r="X44" s="343"/>
      <c r="Y44" s="367" t="str">
        <f t="shared" ca="1" si="22"/>
        <v/>
      </c>
      <c r="Z44" s="368" t="str">
        <f t="shared" ca="1" si="23"/>
        <v/>
      </c>
      <c r="AA44" s="369" t="str">
        <f t="shared" ca="1" si="24"/>
        <v/>
      </c>
      <c r="AB44" s="344"/>
      <c r="AC44" s="363" t="e">
        <f t="shared" ca="1" si="25"/>
        <v>#N/A</v>
      </c>
      <c r="AD44" s="376" t="e">
        <f t="shared" ca="1" si="26"/>
        <v>#N/A</v>
      </c>
      <c r="AE44" s="377">
        <f t="shared" ca="1" si="5"/>
        <v>5.4266717479223958</v>
      </c>
      <c r="AF44" s="344"/>
      <c r="AG44" s="359">
        <f t="shared" ca="1" si="27"/>
        <v>74.47102618946154</v>
      </c>
      <c r="AH44" s="357">
        <f t="shared" ca="1" si="28"/>
        <v>84.127698334143957</v>
      </c>
    </row>
    <row r="45" spans="1:34" x14ac:dyDescent="0.25">
      <c r="A45" s="402">
        <f t="shared" ca="1" si="6"/>
        <v>0.01</v>
      </c>
      <c r="B45" s="357">
        <f t="shared" ca="1" si="7"/>
        <v>0.4100000000000002</v>
      </c>
      <c r="C45" s="342"/>
      <c r="D45" s="359">
        <f t="shared" ca="1" si="8"/>
        <v>14.864665241163147</v>
      </c>
      <c r="E45" s="360">
        <f t="shared" ca="1" si="9"/>
        <v>72.992725712519729</v>
      </c>
      <c r="F45" s="357">
        <f t="shared" ca="1" si="10"/>
        <v>74.490914074637203</v>
      </c>
      <c r="G45" s="359">
        <f t="shared" ca="1" si="11"/>
        <v>5.3020262172495407</v>
      </c>
      <c r="H45" s="360">
        <f t="shared" ca="1" si="12"/>
        <v>29.436518874010336</v>
      </c>
      <c r="I45" s="357">
        <f t="shared" ca="1" si="13"/>
        <v>29.910201026211244</v>
      </c>
      <c r="J45" s="359">
        <f t="shared" ca="1" si="14"/>
        <v>1.0113357289405205</v>
      </c>
      <c r="K45" s="360">
        <f t="shared" ca="1" si="15"/>
        <v>5.7173873003768731</v>
      </c>
      <c r="L45" s="357">
        <f t="shared" ca="1" si="0"/>
        <v>5.8061448052164879</v>
      </c>
      <c r="M45" s="359">
        <f t="shared" ca="1" si="16"/>
        <v>1.3925897748906302</v>
      </c>
      <c r="N45" s="357">
        <f t="shared" ca="1" si="17"/>
        <v>79.789516694306499</v>
      </c>
      <c r="O45" s="343"/>
      <c r="P45" s="363">
        <f t="shared" ca="1" si="18"/>
        <v>5</v>
      </c>
      <c r="Q45" s="357">
        <f t="shared" ca="1" si="19"/>
        <v>1037.1666666666667</v>
      </c>
      <c r="R45" s="359">
        <f t="shared" ca="1" si="20"/>
        <v>0.51955024324277477</v>
      </c>
      <c r="S45" s="360">
        <f t="shared" ca="1" si="21"/>
        <v>12.300403068203412</v>
      </c>
      <c r="T45" s="357">
        <f t="shared" ca="1" si="1"/>
        <v>120.66695409907548</v>
      </c>
      <c r="U45" s="364">
        <f t="shared" ca="1" si="2"/>
        <v>0</v>
      </c>
      <c r="V45" s="359">
        <f t="shared" ca="1" si="3"/>
        <v>1.2242998202156541</v>
      </c>
      <c r="W45" s="357">
        <f t="shared" ca="1" si="4"/>
        <v>2.5010742922944882</v>
      </c>
      <c r="X45" s="343"/>
      <c r="Y45" s="367" t="str">
        <f t="shared" ca="1" si="22"/>
        <v/>
      </c>
      <c r="Z45" s="368" t="str">
        <f t="shared" ca="1" si="23"/>
        <v/>
      </c>
      <c r="AA45" s="369" t="str">
        <f t="shared" ca="1" si="24"/>
        <v/>
      </c>
      <c r="AB45" s="344"/>
      <c r="AC45" s="363" t="e">
        <f t="shared" ca="1" si="25"/>
        <v>#N/A</v>
      </c>
      <c r="AD45" s="376" t="e">
        <f t="shared" ca="1" si="26"/>
        <v>#N/A</v>
      </c>
      <c r="AE45" s="377">
        <f t="shared" ca="1" si="5"/>
        <v>5.7173873003768731</v>
      </c>
      <c r="AF45" s="344"/>
      <c r="AG45" s="359">
        <f t="shared" ca="1" si="27"/>
        <v>74.470743918159414</v>
      </c>
      <c r="AH45" s="357">
        <f t="shared" ca="1" si="28"/>
        <v>84.126390973074678</v>
      </c>
    </row>
    <row r="46" spans="1:34" x14ac:dyDescent="0.25">
      <c r="A46" s="402">
        <f t="shared" ca="1" si="6"/>
        <v>0.01</v>
      </c>
      <c r="B46" s="357">
        <f t="shared" ca="1" si="7"/>
        <v>0.42000000000000021</v>
      </c>
      <c r="C46" s="342"/>
      <c r="D46" s="359">
        <f t="shared" ca="1" si="8"/>
        <v>14.912370489159301</v>
      </c>
      <c r="E46" s="360">
        <f t="shared" ca="1" si="9"/>
        <v>72.982550880310441</v>
      </c>
      <c r="F46" s="357">
        <f t="shared" ca="1" si="10"/>
        <v>74.490479435985989</v>
      </c>
      <c r="G46" s="359">
        <f t="shared" ca="1" si="11"/>
        <v>5.4511499221411341</v>
      </c>
      <c r="H46" s="360">
        <f t="shared" ca="1" si="12"/>
        <v>30.166344382813438</v>
      </c>
      <c r="I46" s="357">
        <f t="shared" ca="1" si="13"/>
        <v>30.654907745680124</v>
      </c>
      <c r="J46" s="359">
        <f t="shared" ca="1" si="14"/>
        <v>1.0651016096374739</v>
      </c>
      <c r="K46" s="360">
        <f t="shared" ca="1" si="15"/>
        <v>6.0154016166609923</v>
      </c>
      <c r="L46" s="357">
        <f t="shared" ca="1" si="0"/>
        <v>6.1089686567030297</v>
      </c>
      <c r="M46" s="359">
        <f t="shared" ca="1" si="16"/>
        <v>1.392022502618405</v>
      </c>
      <c r="N46" s="357">
        <f t="shared" ca="1" si="17"/>
        <v>79.757014387273188</v>
      </c>
      <c r="O46" s="343"/>
      <c r="P46" s="363">
        <f t="shared" ca="1" si="18"/>
        <v>5</v>
      </c>
      <c r="Q46" s="357">
        <f t="shared" ca="1" si="19"/>
        <v>1036.8333333333333</v>
      </c>
      <c r="R46" s="359">
        <f t="shared" ca="1" si="20"/>
        <v>0.51938326582248129</v>
      </c>
      <c r="S46" s="360">
        <f t="shared" ca="1" si="21"/>
        <v>12.295209235545187</v>
      </c>
      <c r="T46" s="357">
        <f t="shared" ca="1" si="1"/>
        <v>120.61600260069829</v>
      </c>
      <c r="U46" s="364">
        <f t="shared" ca="1" si="2"/>
        <v>0</v>
      </c>
      <c r="V46" s="359">
        <f t="shared" ca="1" si="3"/>
        <v>1.2242633348687904</v>
      </c>
      <c r="W46" s="357">
        <f t="shared" ca="1" si="4"/>
        <v>2.6270903718903695</v>
      </c>
      <c r="X46" s="343"/>
      <c r="Y46" s="367" t="str">
        <f t="shared" ca="1" si="22"/>
        <v/>
      </c>
      <c r="Z46" s="368" t="str">
        <f t="shared" ca="1" si="23"/>
        <v/>
      </c>
      <c r="AA46" s="369" t="str">
        <f t="shared" ca="1" si="24"/>
        <v/>
      </c>
      <c r="AB46" s="344"/>
      <c r="AC46" s="363" t="e">
        <f t="shared" ca="1" si="25"/>
        <v>#N/A</v>
      </c>
      <c r="AD46" s="376" t="e">
        <f t="shared" ca="1" si="26"/>
        <v>#N/A</v>
      </c>
      <c r="AE46" s="377">
        <f t="shared" ca="1" si="5"/>
        <v>6.0154016166609923</v>
      </c>
      <c r="AF46" s="344"/>
      <c r="AG46" s="359">
        <f t="shared" ca="1" si="27"/>
        <v>74.470178712760344</v>
      </c>
      <c r="AH46" s="357">
        <f t="shared" ca="1" si="28"/>
        <v>84.124819612732267</v>
      </c>
    </row>
    <row r="47" spans="1:34" x14ac:dyDescent="0.25">
      <c r="A47" s="402">
        <f t="shared" ca="1" si="6"/>
        <v>0.01</v>
      </c>
      <c r="B47" s="357">
        <f t="shared" ca="1" si="7"/>
        <v>0.43000000000000022</v>
      </c>
      <c r="C47" s="342"/>
      <c r="D47" s="359">
        <f t="shared" ca="1" si="8"/>
        <v>14.959007592358198</v>
      </c>
      <c r="E47" s="360">
        <f t="shared" ca="1" si="9"/>
        <v>72.972271832830174</v>
      </c>
      <c r="F47" s="357">
        <f t="shared" ca="1" si="10"/>
        <v>74.489760132468476</v>
      </c>
      <c r="G47" s="359">
        <f t="shared" ca="1" si="11"/>
        <v>5.6007399980647161</v>
      </c>
      <c r="H47" s="360">
        <f t="shared" ca="1" si="12"/>
        <v>30.896067101141739</v>
      </c>
      <c r="I47" s="357">
        <f t="shared" ca="1" si="13"/>
        <v>31.399605902688887</v>
      </c>
      <c r="J47" s="359">
        <f t="shared" ca="1" si="14"/>
        <v>1.1203610592385032</v>
      </c>
      <c r="K47" s="360">
        <f t="shared" ca="1" si="15"/>
        <v>6.3207136740807677</v>
      </c>
      <c r="L47" s="357">
        <f t="shared" ca="1" si="0"/>
        <v>6.4192390711648697</v>
      </c>
      <c r="M47" s="359">
        <f t="shared" ca="1" si="16"/>
        <v>1.3914669400903144</v>
      </c>
      <c r="N47" s="357">
        <f t="shared" ca="1" si="17"/>
        <v>79.72518299915798</v>
      </c>
      <c r="O47" s="343"/>
      <c r="P47" s="363">
        <f t="shared" ca="1" si="18"/>
        <v>5</v>
      </c>
      <c r="Q47" s="357">
        <f t="shared" ca="1" si="19"/>
        <v>1036.5</v>
      </c>
      <c r="R47" s="359">
        <f t="shared" ca="1" si="20"/>
        <v>0.51921628840218792</v>
      </c>
      <c r="S47" s="360">
        <f t="shared" ca="1" si="21"/>
        <v>12.290017072661165</v>
      </c>
      <c r="T47" s="357">
        <f t="shared" ca="1" si="1"/>
        <v>120.56506748280603</v>
      </c>
      <c r="U47" s="364">
        <f t="shared" ca="1" si="2"/>
        <v>0</v>
      </c>
      <c r="V47" s="359">
        <f t="shared" ca="1" si="3"/>
        <v>1.2242259572000707</v>
      </c>
      <c r="W47" s="357">
        <f t="shared" ca="1" si="4"/>
        <v>2.7561961440995146</v>
      </c>
      <c r="X47" s="343"/>
      <c r="Y47" s="367" t="str">
        <f t="shared" ca="1" si="22"/>
        <v/>
      </c>
      <c r="Z47" s="368" t="str">
        <f t="shared" ca="1" si="23"/>
        <v/>
      </c>
      <c r="AA47" s="369" t="str">
        <f t="shared" ca="1" si="24"/>
        <v/>
      </c>
      <c r="AB47" s="344"/>
      <c r="AC47" s="363" t="e">
        <f t="shared" ca="1" si="25"/>
        <v>#N/A</v>
      </c>
      <c r="AD47" s="376" t="e">
        <f t="shared" ca="1" si="26"/>
        <v>#N/A</v>
      </c>
      <c r="AE47" s="377">
        <f t="shared" ca="1" si="5"/>
        <v>6.3207136740807677</v>
      </c>
      <c r="AF47" s="344"/>
      <c r="AG47" s="359">
        <f t="shared" ca="1" si="27"/>
        <v>74.469331126906511</v>
      </c>
      <c r="AH47" s="357">
        <f t="shared" ca="1" si="28"/>
        <v>84.122984005281339</v>
      </c>
    </row>
    <row r="48" spans="1:34" x14ac:dyDescent="0.25">
      <c r="A48" s="402">
        <f t="shared" ca="1" si="6"/>
        <v>0.01</v>
      </c>
      <c r="B48" s="357">
        <f t="shared" ca="1" si="7"/>
        <v>0.44000000000000022</v>
      </c>
      <c r="C48" s="342"/>
      <c r="D48" s="359">
        <f t="shared" ca="1" si="8"/>
        <v>15.004621415745577</v>
      </c>
      <c r="E48" s="360">
        <f t="shared" ca="1" si="9"/>
        <v>72.961881974219637</v>
      </c>
      <c r="F48" s="357">
        <f t="shared" ca="1" si="10"/>
        <v>74.488756769393106</v>
      </c>
      <c r="G48" s="359">
        <f t="shared" ca="1" si="11"/>
        <v>5.750786212222172</v>
      </c>
      <c r="H48" s="360">
        <f t="shared" ca="1" si="12"/>
        <v>31.625685920883935</v>
      </c>
      <c r="I48" s="357">
        <f t="shared" ca="1" si="13"/>
        <v>32.144292681984481</v>
      </c>
      <c r="J48" s="359">
        <f t="shared" ca="1" si="14"/>
        <v>1.1771186902899375</v>
      </c>
      <c r="K48" s="360">
        <f t="shared" ca="1" si="15"/>
        <v>6.6333224391908958</v>
      </c>
      <c r="L48" s="357">
        <f t="shared" ca="1" si="0"/>
        <v>6.7369559144544917</v>
      </c>
      <c r="M48" s="359">
        <f t="shared" ca="1" si="16"/>
        <v>1.3909225798843081</v>
      </c>
      <c r="N48" s="357">
        <f t="shared" ca="1" si="17"/>
        <v>79.693993456818959</v>
      </c>
      <c r="O48" s="343"/>
      <c r="P48" s="363">
        <f t="shared" ca="1" si="18"/>
        <v>5</v>
      </c>
      <c r="Q48" s="357">
        <f t="shared" ca="1" si="19"/>
        <v>1036.1666666666667</v>
      </c>
      <c r="R48" s="359">
        <f t="shared" ca="1" si="20"/>
        <v>0.51904931098189466</v>
      </c>
      <c r="S48" s="360">
        <f t="shared" ca="1" si="21"/>
        <v>12.284826579551346</v>
      </c>
      <c r="T48" s="357">
        <f t="shared" ca="1" si="1"/>
        <v>120.51414874539871</v>
      </c>
      <c r="U48" s="364">
        <f t="shared" ca="1" si="2"/>
        <v>0</v>
      </c>
      <c r="V48" s="359">
        <f t="shared" ca="1" si="3"/>
        <v>1.2241876874177633</v>
      </c>
      <c r="W48" s="357">
        <f t="shared" ca="1" si="4"/>
        <v>2.8883904301649825</v>
      </c>
      <c r="X48" s="343"/>
      <c r="Y48" s="367" t="str">
        <f t="shared" ca="1" si="22"/>
        <v/>
      </c>
      <c r="Z48" s="368" t="str">
        <f t="shared" ca="1" si="23"/>
        <v/>
      </c>
      <c r="AA48" s="369" t="str">
        <f t="shared" ca="1" si="24"/>
        <v/>
      </c>
      <c r="AB48" s="344"/>
      <c r="AC48" s="363" t="e">
        <f t="shared" ca="1" si="25"/>
        <v>#N/A</v>
      </c>
      <c r="AD48" s="376" t="e">
        <f t="shared" ca="1" si="26"/>
        <v>#N/A</v>
      </c>
      <c r="AE48" s="377">
        <f t="shared" ca="1" si="5"/>
        <v>6.6333224391908958</v>
      </c>
      <c r="AF48" s="344"/>
      <c r="AG48" s="359">
        <f t="shared" ca="1" si="27"/>
        <v>74.46820166681843</v>
      </c>
      <c r="AH48" s="357">
        <f t="shared" ca="1" si="28"/>
        <v>84.120883907529148</v>
      </c>
    </row>
    <row r="49" spans="1:34" x14ac:dyDescent="0.25">
      <c r="A49" s="402">
        <f t="shared" ca="1" si="6"/>
        <v>0.01</v>
      </c>
      <c r="B49" s="357">
        <f t="shared" ca="1" si="7"/>
        <v>0.45000000000000023</v>
      </c>
      <c r="C49" s="342"/>
      <c r="D49" s="359">
        <f t="shared" ca="1" si="8"/>
        <v>15.049253828947771</v>
      </c>
      <c r="E49" s="360">
        <f t="shared" ca="1" si="9"/>
        <v>72.951375118838214</v>
      </c>
      <c r="F49" s="357">
        <f t="shared" ca="1" si="10"/>
        <v>74.487469902914185</v>
      </c>
      <c r="G49" s="359">
        <f t="shared" ca="1" si="11"/>
        <v>5.9012787505116497</v>
      </c>
      <c r="H49" s="360">
        <f t="shared" ca="1" si="12"/>
        <v>32.355199672072317</v>
      </c>
      <c r="I49" s="357">
        <f t="shared" ca="1" si="13"/>
        <v>32.888965272731049</v>
      </c>
      <c r="J49" s="359">
        <f t="shared" ca="1" si="14"/>
        <v>1.2353790151036066</v>
      </c>
      <c r="K49" s="360">
        <f t="shared" ca="1" si="15"/>
        <v>6.9532268671556769</v>
      </c>
      <c r="L49" s="357">
        <f t="shared" ca="1" si="0"/>
        <v>7.0621190288109634</v>
      </c>
      <c r="M49" s="359">
        <f t="shared" ca="1" si="16"/>
        <v>1.3903889475132298</v>
      </c>
      <c r="N49" s="357">
        <f t="shared" ca="1" si="17"/>
        <v>79.6634185741446</v>
      </c>
      <c r="O49" s="343"/>
      <c r="P49" s="363">
        <f t="shared" ca="1" si="18"/>
        <v>5</v>
      </c>
      <c r="Q49" s="357">
        <f t="shared" ca="1" si="19"/>
        <v>1035.8333333333333</v>
      </c>
      <c r="R49" s="359">
        <f t="shared" ca="1" si="20"/>
        <v>0.51888233356160118</v>
      </c>
      <c r="S49" s="360">
        <f t="shared" ca="1" si="21"/>
        <v>12.279637756215731</v>
      </c>
      <c r="T49" s="357">
        <f t="shared" ca="1" si="1"/>
        <v>120.46324638847632</v>
      </c>
      <c r="U49" s="364">
        <f t="shared" ca="1" si="2"/>
        <v>0</v>
      </c>
      <c r="V49" s="359">
        <f t="shared" ca="1" si="3"/>
        <v>1.2241485257334608</v>
      </c>
      <c r="W49" s="357">
        <f t="shared" ca="1" si="4"/>
        <v>3.0236719918858022</v>
      </c>
      <c r="X49" s="343"/>
      <c r="Y49" s="367" t="str">
        <f t="shared" ca="1" si="22"/>
        <v/>
      </c>
      <c r="Z49" s="368" t="str">
        <f t="shared" ca="1" si="23"/>
        <v/>
      </c>
      <c r="AA49" s="369" t="str">
        <f t="shared" ca="1" si="24"/>
        <v/>
      </c>
      <c r="AB49" s="344"/>
      <c r="AC49" s="363" t="e">
        <f t="shared" ca="1" si="25"/>
        <v>#N/A</v>
      </c>
      <c r="AD49" s="376" t="e">
        <f t="shared" ca="1" si="26"/>
        <v>#N/A</v>
      </c>
      <c r="AE49" s="377">
        <f t="shared" ca="1" si="5"/>
        <v>6.9532268671556769</v>
      </c>
      <c r="AF49" s="344"/>
      <c r="AG49" s="359">
        <f t="shared" ca="1" si="27"/>
        <v>74.466790795812628</v>
      </c>
      <c r="AH49" s="357">
        <f t="shared" ca="1" si="28"/>
        <v>84.118519080932188</v>
      </c>
    </row>
    <row r="50" spans="1:34" x14ac:dyDescent="0.25">
      <c r="A50" s="402">
        <f t="shared" ca="1" si="6"/>
        <v>0.01</v>
      </c>
      <c r="B50" s="357">
        <f t="shared" ca="1" si="7"/>
        <v>0.46000000000000024</v>
      </c>
      <c r="C50" s="342"/>
      <c r="D50" s="359">
        <f t="shared" ca="1" si="8"/>
        <v>15.092943968915097</v>
      </c>
      <c r="E50" s="360">
        <f t="shared" ca="1" si="9"/>
        <v>72.940745456873799</v>
      </c>
      <c r="F50" s="357">
        <f t="shared" ca="1" si="10"/>
        <v>74.485900044594118</v>
      </c>
      <c r="G50" s="359">
        <f t="shared" ca="1" si="11"/>
        <v>6.0522081902008011</v>
      </c>
      <c r="H50" s="360">
        <f t="shared" ca="1" si="12"/>
        <v>33.084607126641053</v>
      </c>
      <c r="I50" s="357">
        <f t="shared" ca="1" si="13"/>
        <v>33.633620868139097</v>
      </c>
      <c r="J50" s="359">
        <f t="shared" ca="1" si="14"/>
        <v>1.2951464498071688</v>
      </c>
      <c r="K50" s="360">
        <f t="shared" ca="1" si="15"/>
        <v>7.2804259011492434</v>
      </c>
      <c r="L50" s="357">
        <f t="shared" ca="1" si="0"/>
        <v>7.3947282322322625</v>
      </c>
      <c r="M50" s="359">
        <f t="shared" ca="1" si="16"/>
        <v>1.3898655986057322</v>
      </c>
      <c r="N50" s="357">
        <f t="shared" ca="1" si="17"/>
        <v>79.633432890532205</v>
      </c>
      <c r="O50" s="343"/>
      <c r="P50" s="363">
        <f t="shared" ca="1" si="18"/>
        <v>5</v>
      </c>
      <c r="Q50" s="357">
        <f t="shared" ca="1" si="19"/>
        <v>1035.5</v>
      </c>
      <c r="R50" s="359">
        <f t="shared" ca="1" si="20"/>
        <v>0.51871535614130793</v>
      </c>
      <c r="S50" s="360">
        <f t="shared" ca="1" si="21"/>
        <v>12.274450602654317</v>
      </c>
      <c r="T50" s="357">
        <f t="shared" ca="1" si="1"/>
        <v>120.41236041203886</v>
      </c>
      <c r="U50" s="364">
        <f t="shared" ca="1" si="2"/>
        <v>0</v>
      </c>
      <c r="V50" s="359">
        <f t="shared" ca="1" si="3"/>
        <v>1.2241084723621545</v>
      </c>
      <c r="W50" s="357">
        <f t="shared" ca="1" si="4"/>
        <v>3.1620395316605445</v>
      </c>
      <c r="X50" s="343"/>
      <c r="Y50" s="367" t="str">
        <f t="shared" ca="1" si="22"/>
        <v/>
      </c>
      <c r="Z50" s="368" t="str">
        <f t="shared" ca="1" si="23"/>
        <v/>
      </c>
      <c r="AA50" s="369" t="str">
        <f t="shared" ca="1" si="24"/>
        <v/>
      </c>
      <c r="AB50" s="344"/>
      <c r="AC50" s="363" t="e">
        <f t="shared" ca="1" si="25"/>
        <v>#N/A</v>
      </c>
      <c r="AD50" s="376" t="e">
        <f t="shared" ca="1" si="26"/>
        <v>#N/A</v>
      </c>
      <c r="AE50" s="377">
        <f t="shared" ca="1" si="5"/>
        <v>7.2804259011492434</v>
      </c>
      <c r="AF50" s="344"/>
      <c r="AG50" s="359">
        <f t="shared" ca="1" si="27"/>
        <v>74.465098938334805</v>
      </c>
      <c r="AH50" s="357">
        <f t="shared" ca="1" si="28"/>
        <v>84.115889291602514</v>
      </c>
    </row>
    <row r="51" spans="1:34" x14ac:dyDescent="0.25">
      <c r="A51" s="402">
        <f t="shared" ca="1" si="6"/>
        <v>0.01</v>
      </c>
      <c r="B51" s="357">
        <f t="shared" ca="1" si="7"/>
        <v>0.47000000000000025</v>
      </c>
      <c r="C51" s="342"/>
      <c r="D51" s="359">
        <f t="shared" ca="1" si="8"/>
        <v>15.135728474284948</v>
      </c>
      <c r="E51" s="360">
        <f t="shared" ca="1" si="9"/>
        <v>72.929987523564918</v>
      </c>
      <c r="F51" s="357">
        <f t="shared" ca="1" si="10"/>
        <v>74.484047665487509</v>
      </c>
      <c r="G51" s="359">
        <f t="shared" ca="1" si="11"/>
        <v>6.2035654749436508</v>
      </c>
      <c r="H51" s="360">
        <f t="shared" ca="1" si="12"/>
        <v>33.8139070018767</v>
      </c>
      <c r="I51" s="357">
        <f t="shared" ca="1" si="13"/>
        <v>34.378256665128895</v>
      </c>
      <c r="J51" s="359">
        <f t="shared" ca="1" si="14"/>
        <v>1.3564253181328909</v>
      </c>
      <c r="K51" s="360">
        <f t="shared" ca="1" si="15"/>
        <v>7.6149184717918317</v>
      </c>
      <c r="L51" s="357">
        <f t="shared" ca="1" si="0"/>
        <v>7.734783317954574</v>
      </c>
      <c r="M51" s="359">
        <f t="shared" ca="1" si="16"/>
        <v>1.3893521163842892</v>
      </c>
      <c r="N51" s="357">
        <f t="shared" ca="1" si="17"/>
        <v>79.60401252638853</v>
      </c>
      <c r="O51" s="343"/>
      <c r="P51" s="363">
        <f t="shared" ca="1" si="18"/>
        <v>5</v>
      </c>
      <c r="Q51" s="357">
        <f t="shared" ca="1" si="19"/>
        <v>1035.1666666666667</v>
      </c>
      <c r="R51" s="359">
        <f t="shared" ca="1" si="20"/>
        <v>0.51854837872101456</v>
      </c>
      <c r="S51" s="360">
        <f t="shared" ca="1" si="21"/>
        <v>12.269265118867107</v>
      </c>
      <c r="T51" s="357">
        <f t="shared" ca="1" si="1"/>
        <v>120.36149081608633</v>
      </c>
      <c r="U51" s="364">
        <f t="shared" ca="1" si="2"/>
        <v>0</v>
      </c>
      <c r="V51" s="359">
        <f t="shared" ca="1" si="3"/>
        <v>1.2240675275223005</v>
      </c>
      <c r="W51" s="357">
        <f t="shared" ca="1" si="4"/>
        <v>3.3034916925293052</v>
      </c>
      <c r="X51" s="343"/>
      <c r="Y51" s="367" t="str">
        <f t="shared" ca="1" si="22"/>
        <v/>
      </c>
      <c r="Z51" s="368" t="str">
        <f t="shared" ca="1" si="23"/>
        <v/>
      </c>
      <c r="AA51" s="369" t="str">
        <f t="shared" ca="1" si="24"/>
        <v/>
      </c>
      <c r="AB51" s="344"/>
      <c r="AC51" s="363" t="e">
        <f t="shared" ca="1" si="25"/>
        <v>#N/A</v>
      </c>
      <c r="AD51" s="376" t="e">
        <f t="shared" ca="1" si="26"/>
        <v>#N/A</v>
      </c>
      <c r="AE51" s="377">
        <f t="shared" ca="1" si="5"/>
        <v>7.6149184717918317</v>
      </c>
      <c r="AF51" s="344"/>
      <c r="AG51" s="359">
        <f t="shared" ca="1" si="27"/>
        <v>74.463126483570619</v>
      </c>
      <c r="AH51" s="357">
        <f t="shared" ca="1" si="28"/>
        <v>84.112994310314249</v>
      </c>
    </row>
    <row r="52" spans="1:34" x14ac:dyDescent="0.25">
      <c r="A52" s="402">
        <f t="shared" ca="1" si="6"/>
        <v>0.01</v>
      </c>
      <c r="B52" s="357">
        <f t="shared" ca="1" si="7"/>
        <v>0.48000000000000026</v>
      </c>
      <c r="C52" s="342"/>
      <c r="D52" s="359">
        <f t="shared" ca="1" si="8"/>
        <v>15.177641695023938</v>
      </c>
      <c r="E52" s="360">
        <f t="shared" ca="1" si="9"/>
        <v>72.919096171586318</v>
      </c>
      <c r="F52" s="357">
        <f t="shared" ca="1" si="10"/>
        <v>74.481913199806996</v>
      </c>
      <c r="G52" s="359">
        <f t="shared" ca="1" si="11"/>
        <v>6.3553418918938904</v>
      </c>
      <c r="H52" s="360">
        <f t="shared" ca="1" si="12"/>
        <v>34.543097963592565</v>
      </c>
      <c r="I52" s="357">
        <f t="shared" ca="1" si="13"/>
        <v>35.122869864024693</v>
      </c>
      <c r="J52" s="359">
        <f t="shared" ca="1" si="14"/>
        <v>1.4192198549670787</v>
      </c>
      <c r="K52" s="360">
        <f t="shared" ca="1" si="15"/>
        <v>7.9567034966191779</v>
      </c>
      <c r="L52" s="357">
        <f t="shared" ca="1" si="0"/>
        <v>8.0822840540186807</v>
      </c>
      <c r="M52" s="359">
        <f t="shared" ca="1" si="16"/>
        <v>1.388848109403358</v>
      </c>
      <c r="N52" s="357">
        <f t="shared" ca="1" si="17"/>
        <v>79.57513505353603</v>
      </c>
      <c r="O52" s="343"/>
      <c r="P52" s="363">
        <f t="shared" ca="1" si="18"/>
        <v>5</v>
      </c>
      <c r="Q52" s="357">
        <f t="shared" ca="1" si="19"/>
        <v>1034.8333333333333</v>
      </c>
      <c r="R52" s="359">
        <f t="shared" ca="1" si="20"/>
        <v>0.51838140130072119</v>
      </c>
      <c r="S52" s="360">
        <f t="shared" ca="1" si="21"/>
        <v>12.2640813048541</v>
      </c>
      <c r="T52" s="357">
        <f t="shared" ca="1" si="1"/>
        <v>120.31063760061873</v>
      </c>
      <c r="U52" s="364">
        <f t="shared" ca="1" si="2"/>
        <v>0</v>
      </c>
      <c r="V52" s="359">
        <f t="shared" ca="1" si="3"/>
        <v>1.224025691435882</v>
      </c>
      <c r="W52" s="357">
        <f t="shared" ca="1" si="4"/>
        <v>3.4480270582144201</v>
      </c>
      <c r="X52" s="343"/>
      <c r="Y52" s="367" t="str">
        <f t="shared" ca="1" si="22"/>
        <v/>
      </c>
      <c r="Z52" s="368" t="str">
        <f t="shared" ca="1" si="23"/>
        <v/>
      </c>
      <c r="AA52" s="369" t="str">
        <f t="shared" ca="1" si="24"/>
        <v/>
      </c>
      <c r="AB52" s="344"/>
      <c r="AC52" s="363" t="e">
        <f t="shared" ca="1" si="25"/>
        <v>#N/A</v>
      </c>
      <c r="AD52" s="376" t="e">
        <f t="shared" ca="1" si="26"/>
        <v>#N/A</v>
      </c>
      <c r="AE52" s="377">
        <f t="shared" ca="1" si="5"/>
        <v>7.9567034966191779</v>
      </c>
      <c r="AF52" s="344"/>
      <c r="AG52" s="359">
        <f t="shared" ca="1" si="27"/>
        <v>74.460873788686683</v>
      </c>
      <c r="AH52" s="357">
        <f t="shared" ca="1" si="28"/>
        <v>84.109833912510538</v>
      </c>
    </row>
    <row r="53" spans="1:34" x14ac:dyDescent="0.25">
      <c r="A53" s="402">
        <f t="shared" ca="1" si="6"/>
        <v>0.01</v>
      </c>
      <c r="B53" s="357">
        <f t="shared" ca="1" si="7"/>
        <v>0.49000000000000027</v>
      </c>
      <c r="C53" s="342"/>
      <c r="D53" s="359">
        <f t="shared" ca="1" si="8"/>
        <v>15.218715880425176</v>
      </c>
      <c r="E53" s="360">
        <f t="shared" ca="1" si="9"/>
        <v>72.908066546212197</v>
      </c>
      <c r="F53" s="357">
        <f t="shared" ca="1" si="10"/>
        <v>74.479497048221347</v>
      </c>
      <c r="G53" s="359">
        <f t="shared" ca="1" si="11"/>
        <v>6.5075290506981425</v>
      </c>
      <c r="H53" s="360">
        <f t="shared" ca="1" si="12"/>
        <v>35.272178629054686</v>
      </c>
      <c r="I53" s="357">
        <f t="shared" ca="1" si="13"/>
        <v>35.867457668276721</v>
      </c>
      <c r="J53" s="359">
        <f t="shared" ca="1" si="14"/>
        <v>1.4835342096800388</v>
      </c>
      <c r="K53" s="360">
        <f t="shared" ca="1" si="15"/>
        <v>8.3057798795824134</v>
      </c>
      <c r="L53" s="357">
        <f t="shared" ca="1" si="0"/>
        <v>8.4372301829075997</v>
      </c>
      <c r="M53" s="359">
        <f t="shared" ca="1" si="16"/>
        <v>1.38835320951602</v>
      </c>
      <c r="N53" s="357">
        <f t="shared" ca="1" si="17"/>
        <v>79.54677937871007</v>
      </c>
      <c r="O53" s="343"/>
      <c r="P53" s="363">
        <f t="shared" ca="1" si="18"/>
        <v>5</v>
      </c>
      <c r="Q53" s="357">
        <f t="shared" ca="1" si="19"/>
        <v>1034.5</v>
      </c>
      <c r="R53" s="359">
        <f t="shared" ca="1" si="20"/>
        <v>0.51821442388042782</v>
      </c>
      <c r="S53" s="360">
        <f t="shared" ca="1" si="21"/>
        <v>12.258899160615297</v>
      </c>
      <c r="T53" s="357">
        <f t="shared" ca="1" si="1"/>
        <v>120.25980076563607</v>
      </c>
      <c r="U53" s="364">
        <f t="shared" ca="1" si="2"/>
        <v>0</v>
      </c>
      <c r="V53" s="359">
        <f t="shared" ca="1" si="3"/>
        <v>1.2239829643284721</v>
      </c>
      <c r="W53" s="357">
        <f t="shared" ca="1" si="4"/>
        <v>3.595644153160225</v>
      </c>
      <c r="X53" s="343"/>
      <c r="Y53" s="367" t="str">
        <f t="shared" ca="1" si="22"/>
        <v/>
      </c>
      <c r="Z53" s="368" t="str">
        <f t="shared" ca="1" si="23"/>
        <v/>
      </c>
      <c r="AA53" s="369" t="str">
        <f t="shared" ca="1" si="24"/>
        <v/>
      </c>
      <c r="AB53" s="344"/>
      <c r="AC53" s="363" t="e">
        <f t="shared" ca="1" si="25"/>
        <v>#N/A</v>
      </c>
      <c r="AD53" s="376" t="e">
        <f t="shared" ca="1" si="26"/>
        <v>#N/A</v>
      </c>
      <c r="AE53" s="377">
        <f t="shared" ca="1" si="5"/>
        <v>8.3057798795824134</v>
      </c>
      <c r="AF53" s="344"/>
      <c r="AG53" s="359">
        <f t="shared" ca="1" si="27"/>
        <v>74.45834118174642</v>
      </c>
      <c r="AH53" s="357">
        <f t="shared" ca="1" si="28"/>
        <v>84.106407878310279</v>
      </c>
    </row>
    <row r="54" spans="1:34" x14ac:dyDescent="0.25">
      <c r="A54" s="402">
        <f t="shared" ca="1" si="6"/>
        <v>0.01</v>
      </c>
      <c r="B54" s="357">
        <f t="shared" ca="1" si="7"/>
        <v>0.50000000000000022</v>
      </c>
      <c r="C54" s="342"/>
      <c r="D54" s="359">
        <f t="shared" ca="1" si="8"/>
        <v>15.258981348097384</v>
      </c>
      <c r="E54" s="360">
        <f t="shared" ca="1" si="9"/>
        <v>72.896894062925995</v>
      </c>
      <c r="F54" s="357">
        <f t="shared" ca="1" si="10"/>
        <v>74.476799580829464</v>
      </c>
      <c r="G54" s="359">
        <f t="shared" ca="1" si="11"/>
        <v>6.6601188641791165</v>
      </c>
      <c r="H54" s="360">
        <f t="shared" ca="1" si="12"/>
        <v>36.001147569683944</v>
      </c>
      <c r="I54" s="357">
        <f t="shared" ca="1" si="13"/>
        <v>36.612017284208129</v>
      </c>
      <c r="J54" s="359">
        <f t="shared" ca="1" si="14"/>
        <v>1.5493724492544252</v>
      </c>
      <c r="K54" s="360">
        <f t="shared" ca="1" si="15"/>
        <v>8.6621465105761057</v>
      </c>
      <c r="L54" s="357">
        <f t="shared" ca="1" si="0"/>
        <v>8.7996214212427599</v>
      </c>
      <c r="M54" s="359">
        <f t="shared" ca="1" si="16"/>
        <v>1.3878670700418452</v>
      </c>
      <c r="N54" s="357">
        <f t="shared" ca="1" si="17"/>
        <v>79.518925638585145</v>
      </c>
      <c r="O54" s="343"/>
      <c r="P54" s="363">
        <f t="shared" ca="1" si="18"/>
        <v>5</v>
      </c>
      <c r="Q54" s="357">
        <f t="shared" ca="1" si="19"/>
        <v>1034.1666666666667</v>
      </c>
      <c r="R54" s="359">
        <f t="shared" ca="1" si="20"/>
        <v>0.51804744646013456</v>
      </c>
      <c r="S54" s="360">
        <f t="shared" ca="1" si="21"/>
        <v>12.253718686150695</v>
      </c>
      <c r="T54" s="357">
        <f t="shared" ca="1" si="1"/>
        <v>120.20898031113832</v>
      </c>
      <c r="U54" s="364">
        <f t="shared" ca="1" si="2"/>
        <v>0</v>
      </c>
      <c r="V54" s="359">
        <f t="shared" ca="1" si="3"/>
        <v>1.223939346429286</v>
      </c>
      <c r="W54" s="357">
        <f t="shared" ca="1" si="4"/>
        <v>3.7463414425720498</v>
      </c>
      <c r="X54" s="343"/>
      <c r="Y54" s="367" t="str">
        <f t="shared" ca="1" si="22"/>
        <v/>
      </c>
      <c r="Z54" s="368" t="str">
        <f t="shared" ca="1" si="23"/>
        <v/>
      </c>
      <c r="AA54" s="369" t="str">
        <f t="shared" ca="1" si="24"/>
        <v/>
      </c>
      <c r="AB54" s="344"/>
      <c r="AC54" s="363" t="e">
        <f t="shared" ca="1" si="25"/>
        <v>#N/A</v>
      </c>
      <c r="AD54" s="376" t="e">
        <f t="shared" ca="1" si="26"/>
        <v>#N/A</v>
      </c>
      <c r="AE54" s="377">
        <f t="shared" ca="1" si="5"/>
        <v>8.6621465105761057</v>
      </c>
      <c r="AF54" s="344"/>
      <c r="AG54" s="359">
        <f t="shared" ca="1" si="27"/>
        <v>74.45552896433972</v>
      </c>
      <c r="AH54" s="357">
        <f t="shared" ca="1" si="28"/>
        <v>84.102715992515044</v>
      </c>
    </row>
    <row r="55" spans="1:34" x14ac:dyDescent="0.25">
      <c r="A55" s="402">
        <f t="shared" ca="1" si="6"/>
        <v>0.01</v>
      </c>
      <c r="B55" s="357">
        <f t="shared" ca="1" si="7"/>
        <v>0.51000000000000023</v>
      </c>
      <c r="C55" s="342"/>
      <c r="D55" s="359">
        <f t="shared" ca="1" si="8"/>
        <v>15.298466636214959</v>
      </c>
      <c r="E55" s="360">
        <f t="shared" ca="1" si="9"/>
        <v>72.88557438719144</v>
      </c>
      <c r="F55" s="357">
        <f t="shared" ca="1" si="10"/>
        <v>74.473821139848866</v>
      </c>
      <c r="G55" s="359">
        <f t="shared" ca="1" si="11"/>
        <v>6.8131035305412659</v>
      </c>
      <c r="H55" s="360">
        <f t="shared" ca="1" si="12"/>
        <v>36.730003313555855</v>
      </c>
      <c r="I55" s="357">
        <f t="shared" ca="1" si="13"/>
        <v>37.356545920784725</v>
      </c>
      <c r="J55" s="359">
        <f t="shared" ca="1" si="14"/>
        <v>1.6167385612280272</v>
      </c>
      <c r="K55" s="360">
        <f t="shared" ca="1" si="15"/>
        <v>9.0258022649923042</v>
      </c>
      <c r="L55" s="357">
        <f t="shared" ca="1" si="0"/>
        <v>9.1694574595284468</v>
      </c>
      <c r="M55" s="359">
        <f t="shared" ca="1" si="16"/>
        <v>1.3873893641124531</v>
      </c>
      <c r="N55" s="357">
        <f t="shared" ca="1" si="17"/>
        <v>79.491555104982595</v>
      </c>
      <c r="O55" s="343"/>
      <c r="P55" s="363">
        <f t="shared" ca="1" si="18"/>
        <v>5</v>
      </c>
      <c r="Q55" s="357">
        <f t="shared" ca="1" si="19"/>
        <v>1033.8333333333333</v>
      </c>
      <c r="R55" s="359">
        <f t="shared" ca="1" si="20"/>
        <v>0.51788046903984108</v>
      </c>
      <c r="S55" s="360">
        <f t="shared" ca="1" si="21"/>
        <v>12.248539881460296</v>
      </c>
      <c r="T55" s="357">
        <f t="shared" ca="1" si="1"/>
        <v>120.1581762371255</v>
      </c>
      <c r="U55" s="364">
        <f t="shared" ca="1" si="2"/>
        <v>0</v>
      </c>
      <c r="V55" s="359">
        <f t="shared" ca="1" si="3"/>
        <v>1.2238948379712358</v>
      </c>
      <c r="W55" s="357">
        <f t="shared" ca="1" si="4"/>
        <v>3.9001173324547649</v>
      </c>
      <c r="X55" s="343"/>
      <c r="Y55" s="367" t="str">
        <f t="shared" ca="1" si="22"/>
        <v/>
      </c>
      <c r="Z55" s="368" t="str">
        <f t="shared" ca="1" si="23"/>
        <v/>
      </c>
      <c r="AA55" s="369" t="str">
        <f t="shared" ca="1" si="24"/>
        <v/>
      </c>
      <c r="AB55" s="344"/>
      <c r="AC55" s="363" t="e">
        <f t="shared" ca="1" si="25"/>
        <v>#N/A</v>
      </c>
      <c r="AD55" s="376" t="e">
        <f t="shared" ca="1" si="26"/>
        <v>#N/A</v>
      </c>
      <c r="AE55" s="377">
        <f t="shared" ca="1" si="5"/>
        <v>9.0258022649923042</v>
      </c>
      <c r="AF55" s="344"/>
      <c r="AG55" s="359">
        <f t="shared" ca="1" si="27"/>
        <v>74.452437413959956</v>
      </c>
      <c r="AH55" s="357">
        <f t="shared" ca="1" si="28"/>
        <v>84.09875804461619</v>
      </c>
    </row>
    <row r="56" spans="1:34" x14ac:dyDescent="0.25">
      <c r="A56" s="402">
        <f t="shared" ca="1" si="6"/>
        <v>0.01</v>
      </c>
      <c r="B56" s="357">
        <f t="shared" ca="1" si="7"/>
        <v>0.52000000000000024</v>
      </c>
      <c r="C56" s="342"/>
      <c r="D56" s="359">
        <f t="shared" ca="1" si="8"/>
        <v>15.337198640987111</v>
      </c>
      <c r="E56" s="360">
        <f t="shared" ca="1" si="9"/>
        <v>72.874103416136791</v>
      </c>
      <c r="F56" s="357">
        <f t="shared" ca="1" si="10"/>
        <v>74.470562042050531</v>
      </c>
      <c r="G56" s="359">
        <f t="shared" ca="1" si="11"/>
        <v>6.966475516951137</v>
      </c>
      <c r="H56" s="360">
        <f t="shared" ca="1" si="12"/>
        <v>37.458744347717222</v>
      </c>
      <c r="I56" s="357">
        <f t="shared" ca="1" si="13"/>
        <v>38.101040789405168</v>
      </c>
      <c r="J56" s="359">
        <f t="shared" ca="1" si="14"/>
        <v>1.6856364564654891</v>
      </c>
      <c r="K56" s="360">
        <f t="shared" ca="1" si="15"/>
        <v>9.39674600329867</v>
      </c>
      <c r="L56" s="357">
        <f t="shared" ca="1" si="0"/>
        <v>9.5467379619362696</v>
      </c>
      <c r="M56" s="359">
        <f t="shared" ca="1" si="16"/>
        <v>1.3869197831744065</v>
      </c>
      <c r="N56" s="357">
        <f t="shared" ca="1" si="17"/>
        <v>79.464650099092736</v>
      </c>
      <c r="O56" s="343"/>
      <c r="P56" s="363">
        <f t="shared" ca="1" si="18"/>
        <v>5</v>
      </c>
      <c r="Q56" s="357">
        <f t="shared" ca="1" si="19"/>
        <v>1033.5</v>
      </c>
      <c r="R56" s="359">
        <f t="shared" ca="1" si="20"/>
        <v>0.51771349161954783</v>
      </c>
      <c r="S56" s="360">
        <f t="shared" ca="1" si="21"/>
        <v>12.243362746544101</v>
      </c>
      <c r="T56" s="357">
        <f t="shared" ca="1" si="1"/>
        <v>120.10738854359764</v>
      </c>
      <c r="U56" s="364">
        <f t="shared" ca="1" si="2"/>
        <v>0</v>
      </c>
      <c r="V56" s="359">
        <f t="shared" ca="1" si="3"/>
        <v>1.2238494391909804</v>
      </c>
      <c r="W56" s="357">
        <f t="shared" ca="1" si="4"/>
        <v>4.0569701696510192</v>
      </c>
      <c r="X56" s="343"/>
      <c r="Y56" s="367" t="str">
        <f t="shared" ca="1" si="22"/>
        <v/>
      </c>
      <c r="Z56" s="368" t="str">
        <f t="shared" ca="1" si="23"/>
        <v/>
      </c>
      <c r="AA56" s="369" t="str">
        <f t="shared" ca="1" si="24"/>
        <v/>
      </c>
      <c r="AB56" s="344"/>
      <c r="AC56" s="363" t="e">
        <f t="shared" ca="1" si="25"/>
        <v>#N/A</v>
      </c>
      <c r="AD56" s="376" t="e">
        <f t="shared" ca="1" si="26"/>
        <v>#N/A</v>
      </c>
      <c r="AE56" s="377">
        <f t="shared" ca="1" si="5"/>
        <v>9.39674600329867</v>
      </c>
      <c r="AF56" s="344"/>
      <c r="AG56" s="359">
        <f t="shared" ca="1" si="27"/>
        <v>74.449066786156877</v>
      </c>
      <c r="AH56" s="357">
        <f t="shared" ca="1" si="28"/>
        <v>84.094533828801858</v>
      </c>
    </row>
    <row r="57" spans="1:34" x14ac:dyDescent="0.25">
      <c r="A57" s="402">
        <f t="shared" ca="1" si="6"/>
        <v>0.01</v>
      </c>
      <c r="B57" s="357">
        <f t="shared" ca="1" si="7"/>
        <v>0.53000000000000025</v>
      </c>
      <c r="C57" s="342"/>
      <c r="D57" s="359">
        <f t="shared" ca="1" si="8"/>
        <v>15.375202741041351</v>
      </c>
      <c r="E57" s="360">
        <f t="shared" ca="1" si="9"/>
        <v>72.862477261937741</v>
      </c>
      <c r="F57" s="357">
        <f t="shared" ca="1" si="10"/>
        <v>74.467022580968816</v>
      </c>
      <c r="G57" s="359">
        <f t="shared" ca="1" si="11"/>
        <v>7.1202275443615504</v>
      </c>
      <c r="H57" s="360">
        <f t="shared" ca="1" si="12"/>
        <v>38.187369120336598</v>
      </c>
      <c r="I57" s="357">
        <f t="shared" ca="1" si="13"/>
        <v>38.845499103709841</v>
      </c>
      <c r="J57" s="359">
        <f t="shared" ca="1" si="14"/>
        <v>1.7560699717720525</v>
      </c>
      <c r="K57" s="360">
        <f t="shared" ca="1" si="15"/>
        <v>9.7749765706389393</v>
      </c>
      <c r="L57" s="357">
        <f t="shared" ca="1" si="0"/>
        <v>9.9314625661228622</v>
      </c>
      <c r="M57" s="359">
        <f t="shared" ca="1" si="16"/>
        <v>1.3864580356317435</v>
      </c>
      <c r="N57" s="357">
        <f t="shared" ca="1" si="17"/>
        <v>79.438193913697617</v>
      </c>
      <c r="O57" s="343"/>
      <c r="P57" s="363">
        <f t="shared" ca="1" si="18"/>
        <v>5</v>
      </c>
      <c r="Q57" s="357">
        <f t="shared" ca="1" si="19"/>
        <v>1033.1666666666667</v>
      </c>
      <c r="R57" s="359">
        <f t="shared" ca="1" si="20"/>
        <v>0.51754651419925446</v>
      </c>
      <c r="S57" s="360">
        <f t="shared" ca="1" si="21"/>
        <v>12.238187281402109</v>
      </c>
      <c r="T57" s="357">
        <f t="shared" ca="1" si="1"/>
        <v>120.05661723055469</v>
      </c>
      <c r="U57" s="364">
        <f t="shared" ca="1" si="2"/>
        <v>0</v>
      </c>
      <c r="V57" s="359">
        <f t="shared" ca="1" si="3"/>
        <v>1.2238031503289715</v>
      </c>
      <c r="W57" s="357">
        <f t="shared" ca="1" si="4"/>
        <v>4.216898241879389</v>
      </c>
      <c r="X57" s="343"/>
      <c r="Y57" s="367" t="str">
        <f t="shared" ca="1" si="22"/>
        <v/>
      </c>
      <c r="Z57" s="368" t="str">
        <f t="shared" ca="1" si="23"/>
        <v/>
      </c>
      <c r="AA57" s="369" t="str">
        <f t="shared" ca="1" si="24"/>
        <v/>
      </c>
      <c r="AB57" s="344"/>
      <c r="AC57" s="363" t="e">
        <f t="shared" ca="1" si="25"/>
        <v>#N/A</v>
      </c>
      <c r="AD57" s="376" t="e">
        <f t="shared" ca="1" si="26"/>
        <v>#N/A</v>
      </c>
      <c r="AE57" s="377">
        <f t="shared" ca="1" si="5"/>
        <v>9.7749765706389393</v>
      </c>
      <c r="AF57" s="344"/>
      <c r="AG57" s="359">
        <f t="shared" ca="1" si="27"/>
        <v>74.445417316490889</v>
      </c>
      <c r="AH57" s="357">
        <f t="shared" ca="1" si="28"/>
        <v>84.090043143964067</v>
      </c>
    </row>
    <row r="58" spans="1:34" x14ac:dyDescent="0.25">
      <c r="A58" s="402">
        <f t="shared" ca="1" si="6"/>
        <v>0.01</v>
      </c>
      <c r="B58" s="357">
        <f t="shared" ca="1" si="7"/>
        <v>0.54000000000000026</v>
      </c>
      <c r="C58" s="342"/>
      <c r="D58" s="359">
        <f t="shared" ca="1" si="8"/>
        <v>15.412502910193778</v>
      </c>
      <c r="E58" s="360">
        <f t="shared" ca="1" si="9"/>
        <v>72.850692236712263</v>
      </c>
      <c r="F58" s="357">
        <f t="shared" ca="1" si="10"/>
        <v>74.463203028911536</v>
      </c>
      <c r="G58" s="359">
        <f t="shared" ca="1" si="11"/>
        <v>7.2743525734634877</v>
      </c>
      <c r="H58" s="360">
        <f t="shared" ca="1" si="12"/>
        <v>38.915876042703722</v>
      </c>
      <c r="I58" s="357">
        <f t="shared" ca="1" si="13"/>
        <v>39.589918079406736</v>
      </c>
      <c r="J58" s="359">
        <f t="shared" ca="1" si="14"/>
        <v>1.8280428723611777</v>
      </c>
      <c r="K58" s="360">
        <f t="shared" ca="1" si="15"/>
        <v>10.160492796454141</v>
      </c>
      <c r="L58" s="357">
        <f t="shared" ca="1" si="0"/>
        <v>10.323630883075344</v>
      </c>
      <c r="M58" s="359">
        <f t="shared" ca="1" si="16"/>
        <v>1.3860038456127484</v>
      </c>
      <c r="N58" s="357">
        <f t="shared" ca="1" si="17"/>
        <v>79.412170742512217</v>
      </c>
      <c r="O58" s="343"/>
      <c r="P58" s="363">
        <f t="shared" ca="1" si="18"/>
        <v>5</v>
      </c>
      <c r="Q58" s="357">
        <f t="shared" ca="1" si="19"/>
        <v>1032.8333333333333</v>
      </c>
      <c r="R58" s="359">
        <f t="shared" ca="1" si="20"/>
        <v>0.51737953677896098</v>
      </c>
      <c r="S58" s="360">
        <f t="shared" ca="1" si="21"/>
        <v>12.233013486034318</v>
      </c>
      <c r="T58" s="357">
        <f t="shared" ca="1" si="1"/>
        <v>120.00586229799667</v>
      </c>
      <c r="U58" s="364">
        <f t="shared" ca="1" si="2"/>
        <v>0</v>
      </c>
      <c r="V58" s="359">
        <f t="shared" ca="1" si="3"/>
        <v>1.2237559716294992</v>
      </c>
      <c r="W58" s="357">
        <f t="shared" ca="1" si="4"/>
        <v>4.379899777772617</v>
      </c>
      <c r="X58" s="343"/>
      <c r="Y58" s="367" t="str">
        <f t="shared" ca="1" si="22"/>
        <v/>
      </c>
      <c r="Z58" s="368" t="str">
        <f t="shared" ca="1" si="23"/>
        <v/>
      </c>
      <c r="AA58" s="369" t="str">
        <f t="shared" ca="1" si="24"/>
        <v/>
      </c>
      <c r="AB58" s="344"/>
      <c r="AC58" s="363" t="e">
        <f t="shared" ca="1" si="25"/>
        <v>#N/A</v>
      </c>
      <c r="AD58" s="376" t="e">
        <f t="shared" ca="1" si="26"/>
        <v>#N/A</v>
      </c>
      <c r="AE58" s="377">
        <f t="shared" ca="1" si="5"/>
        <v>10.160492796454141</v>
      </c>
      <c r="AF58" s="344"/>
      <c r="AG58" s="359">
        <f t="shared" ca="1" si="27"/>
        <v>74.441489222310423</v>
      </c>
      <c r="AH58" s="357">
        <f t="shared" ca="1" si="28"/>
        <v>84.085285793705879</v>
      </c>
    </row>
    <row r="59" spans="1:34" x14ac:dyDescent="0.25">
      <c r="A59" s="402">
        <f t="shared" ca="1" si="6"/>
        <v>0.01</v>
      </c>
      <c r="B59" s="357">
        <f t="shared" ca="1" si="7"/>
        <v>0.55000000000000027</v>
      </c>
      <c r="C59" s="342"/>
      <c r="D59" s="359">
        <f t="shared" ca="1" si="8"/>
        <v>15.449121819887896</v>
      </c>
      <c r="E59" s="360">
        <f t="shared" ca="1" si="9"/>
        <v>72.838744838763532</v>
      </c>
      <c r="F59" s="357">
        <f t="shared" ca="1" si="10"/>
        <v>74.45910363879112</v>
      </c>
      <c r="G59" s="359">
        <f t="shared" ca="1" si="11"/>
        <v>7.4288437916623664</v>
      </c>
      <c r="H59" s="360">
        <f t="shared" ca="1" si="12"/>
        <v>39.644263491091358</v>
      </c>
      <c r="I59" s="357">
        <f t="shared" ca="1" si="13"/>
        <v>40.334294934112826</v>
      </c>
      <c r="J59" s="359">
        <f t="shared" ca="1" si="14"/>
        <v>1.9015588541868069</v>
      </c>
      <c r="K59" s="360">
        <f t="shared" ca="1" si="15"/>
        <v>10.553293494123118</v>
      </c>
      <c r="L59" s="357">
        <f t="shared" ca="1" si="0"/>
        <v>10.723242496979987</v>
      </c>
      <c r="M59" s="359">
        <f t="shared" ca="1" si="16"/>
        <v>1.3855569518475046</v>
      </c>
      <c r="N59" s="357">
        <f t="shared" ca="1" si="17"/>
        <v>79.386565615873039</v>
      </c>
      <c r="O59" s="343"/>
      <c r="P59" s="363">
        <f t="shared" ca="1" si="18"/>
        <v>5</v>
      </c>
      <c r="Q59" s="357">
        <f t="shared" ca="1" si="19"/>
        <v>1032.5</v>
      </c>
      <c r="R59" s="359">
        <f t="shared" ca="1" si="20"/>
        <v>0.51721255935866772</v>
      </c>
      <c r="S59" s="360">
        <f t="shared" ca="1" si="21"/>
        <v>12.227841360440731</v>
      </c>
      <c r="T59" s="357">
        <f t="shared" ca="1" si="1"/>
        <v>119.95512374592359</v>
      </c>
      <c r="U59" s="364">
        <f t="shared" ca="1" si="2"/>
        <v>0</v>
      </c>
      <c r="V59" s="359">
        <f t="shared" ca="1" si="3"/>
        <v>1.2237079033407336</v>
      </c>
      <c r="W59" s="357">
        <f t="shared" ca="1" si="4"/>
        <v>4.5459729469160752</v>
      </c>
      <c r="X59" s="343"/>
      <c r="Y59" s="367" t="str">
        <f t="shared" ca="1" si="22"/>
        <v/>
      </c>
      <c r="Z59" s="368" t="str">
        <f t="shared" ca="1" si="23"/>
        <v/>
      </c>
      <c r="AA59" s="369" t="str">
        <f t="shared" ca="1" si="24"/>
        <v/>
      </c>
      <c r="AB59" s="344"/>
      <c r="AC59" s="363" t="e">
        <f t="shared" ca="1" si="25"/>
        <v>#N/A</v>
      </c>
      <c r="AD59" s="376" t="e">
        <f t="shared" ca="1" si="26"/>
        <v>#N/A</v>
      </c>
      <c r="AE59" s="377">
        <f t="shared" ca="1" si="5"/>
        <v>10.553293494123118</v>
      </c>
      <c r="AF59" s="344"/>
      <c r="AG59" s="359">
        <f t="shared" ca="1" si="27"/>
        <v>74.437282704371299</v>
      </c>
      <c r="AH59" s="357">
        <f t="shared" ca="1" si="28"/>
        <v>84.080261586348428</v>
      </c>
    </row>
    <row r="60" spans="1:34" x14ac:dyDescent="0.25">
      <c r="A60" s="402">
        <f t="shared" ca="1" si="6"/>
        <v>0.01</v>
      </c>
      <c r="B60" s="357">
        <f t="shared" ca="1" si="7"/>
        <v>0.56000000000000028</v>
      </c>
      <c r="C60" s="342"/>
      <c r="D60" s="359">
        <f t="shared" ca="1" si="8"/>
        <v>15.485080932421669</v>
      </c>
      <c r="E60" s="360">
        <f t="shared" ca="1" si="9"/>
        <v>72.826631740028418</v>
      </c>
      <c r="F60" s="357">
        <f t="shared" ca="1" si="10"/>
        <v>74.454724645796404</v>
      </c>
      <c r="G60" s="359">
        <f t="shared" ca="1" si="11"/>
        <v>7.5836946009865827</v>
      </c>
      <c r="H60" s="360">
        <f t="shared" ca="1" si="12"/>
        <v>40.372529808491642</v>
      </c>
      <c r="I60" s="357">
        <f t="shared" ca="1" si="13"/>
        <v>41.078626887209595</v>
      </c>
      <c r="J60" s="359">
        <f t="shared" ca="1" si="14"/>
        <v>1.9766215461500516</v>
      </c>
      <c r="K60" s="360">
        <f t="shared" ca="1" si="15"/>
        <v>10.953377460621033</v>
      </c>
      <c r="L60" s="357">
        <f t="shared" ca="1" si="0"/>
        <v>11.130296965110386</v>
      </c>
      <c r="M60" s="359">
        <f t="shared" ca="1" si="16"/>
        <v>1.3851171066444548</v>
      </c>
      <c r="N60" s="357">
        <f t="shared" ca="1" si="17"/>
        <v>79.361364342099208</v>
      </c>
      <c r="O60" s="343"/>
      <c r="P60" s="363">
        <f t="shared" ca="1" si="18"/>
        <v>5</v>
      </c>
      <c r="Q60" s="357">
        <f t="shared" ca="1" si="19"/>
        <v>1032.1666666666667</v>
      </c>
      <c r="R60" s="359">
        <f t="shared" ca="1" si="20"/>
        <v>0.51704558193837435</v>
      </c>
      <c r="S60" s="360">
        <f t="shared" ca="1" si="21"/>
        <v>12.222670904621348</v>
      </c>
      <c r="T60" s="357">
        <f t="shared" ca="1" si="1"/>
        <v>119.90440157433542</v>
      </c>
      <c r="U60" s="364">
        <f t="shared" ca="1" si="2"/>
        <v>0</v>
      </c>
      <c r="V60" s="359">
        <f t="shared" ca="1" si="3"/>
        <v>1.2236589457147631</v>
      </c>
      <c r="W60" s="357">
        <f t="shared" ca="1" si="4"/>
        <v>4.715115859886617</v>
      </c>
      <c r="X60" s="343"/>
      <c r="Y60" s="367" t="str">
        <f t="shared" ca="1" si="22"/>
        <v/>
      </c>
      <c r="Z60" s="368" t="str">
        <f t="shared" ca="1" si="23"/>
        <v/>
      </c>
      <c r="AA60" s="369" t="str">
        <f t="shared" ca="1" si="24"/>
        <v/>
      </c>
      <c r="AB60" s="344"/>
      <c r="AC60" s="363" t="e">
        <f t="shared" ca="1" si="25"/>
        <v>#N/A</v>
      </c>
      <c r="AD60" s="376" t="e">
        <f t="shared" ca="1" si="26"/>
        <v>#N/A</v>
      </c>
      <c r="AE60" s="377">
        <f t="shared" ca="1" si="5"/>
        <v>10.953377460621033</v>
      </c>
      <c r="AF60" s="344"/>
      <c r="AG60" s="359">
        <f t="shared" ca="1" si="27"/>
        <v>74.432797948315212</v>
      </c>
      <c r="AH60" s="357">
        <f t="shared" ca="1" si="28"/>
        <v>84.074970334938101</v>
      </c>
    </row>
    <row r="61" spans="1:34" x14ac:dyDescent="0.25">
      <c r="A61" s="402">
        <f t="shared" ca="1" si="6"/>
        <v>0.01</v>
      </c>
      <c r="B61" s="357">
        <f t="shared" ca="1" si="7"/>
        <v>0.57000000000000028</v>
      </c>
      <c r="C61" s="342"/>
      <c r="D61" s="359">
        <f t="shared" ca="1" si="8"/>
        <v>15.52040058594274</v>
      </c>
      <c r="E61" s="360">
        <f t="shared" ca="1" si="9"/>
        <v>72.814349774605674</v>
      </c>
      <c r="F61" s="357">
        <f t="shared" ca="1" si="10"/>
        <v>74.450066268921134</v>
      </c>
      <c r="G61" s="359">
        <f t="shared" ca="1" si="11"/>
        <v>7.7388986068460097</v>
      </c>
      <c r="H61" s="360">
        <f t="shared" ca="1" si="12"/>
        <v>41.100673306237695</v>
      </c>
      <c r="I61" s="357">
        <f t="shared" ca="1" si="13"/>
        <v>41.822911159711524</v>
      </c>
      <c r="J61" s="359">
        <f t="shared" ca="1" si="14"/>
        <v>2.0532345121892144</v>
      </c>
      <c r="K61" s="360">
        <f t="shared" ca="1" si="15"/>
        <v>11.36074347619468</v>
      </c>
      <c r="L61" s="357">
        <f t="shared" ca="1" si="0"/>
        <v>11.54479381773208</v>
      </c>
      <c r="M61" s="359">
        <f t="shared" ca="1" si="16"/>
        <v>1.3846840749556268</v>
      </c>
      <c r="N61" s="357">
        <f t="shared" ca="1" si="17"/>
        <v>79.336553453933945</v>
      </c>
      <c r="O61" s="343"/>
      <c r="P61" s="363">
        <f t="shared" ca="1" si="18"/>
        <v>5</v>
      </c>
      <c r="Q61" s="357">
        <f t="shared" ca="1" si="19"/>
        <v>1031.8333333333333</v>
      </c>
      <c r="R61" s="359">
        <f t="shared" ca="1" si="20"/>
        <v>0.51687860451808099</v>
      </c>
      <c r="S61" s="360">
        <f t="shared" ca="1" si="21"/>
        <v>12.217502118576167</v>
      </c>
      <c r="T61" s="357">
        <f t="shared" ca="1" si="1"/>
        <v>119.85369578323221</v>
      </c>
      <c r="U61" s="364">
        <f t="shared" ca="1" si="2"/>
        <v>0</v>
      </c>
      <c r="V61" s="359">
        <f t="shared" ca="1" si="3"/>
        <v>1.2236090990076349</v>
      </c>
      <c r="W61" s="357">
        <f t="shared" ca="1" si="4"/>
        <v>4.8873265682919556</v>
      </c>
      <c r="X61" s="343"/>
      <c r="Y61" s="367" t="str">
        <f t="shared" ca="1" si="22"/>
        <v/>
      </c>
      <c r="Z61" s="368" t="str">
        <f t="shared" ca="1" si="23"/>
        <v/>
      </c>
      <c r="AA61" s="369" t="str">
        <f t="shared" ca="1" si="24"/>
        <v/>
      </c>
      <c r="AB61" s="344"/>
      <c r="AC61" s="363" t="e">
        <f t="shared" ca="1" si="25"/>
        <v>#N/A</v>
      </c>
      <c r="AD61" s="376" t="e">
        <f t="shared" ca="1" si="26"/>
        <v>#N/A</v>
      </c>
      <c r="AE61" s="377">
        <f t="shared" ca="1" si="5"/>
        <v>11.36074347619468</v>
      </c>
      <c r="AF61" s="344"/>
      <c r="AG61" s="359">
        <f t="shared" ca="1" si="27"/>
        <v>74.428035126021499</v>
      </c>
      <c r="AH61" s="357">
        <f t="shared" ca="1" si="28"/>
        <v>84.069411857253485</v>
      </c>
    </row>
    <row r="62" spans="1:34" x14ac:dyDescent="0.25">
      <c r="A62" s="402">
        <f t="shared" ca="1" si="6"/>
        <v>0.01</v>
      </c>
      <c r="B62" s="357">
        <f t="shared" ca="1" si="7"/>
        <v>0.58000000000000029</v>
      </c>
      <c r="C62" s="342"/>
      <c r="D62" s="359">
        <f t="shared" ca="1" si="8"/>
        <v>15.555100072072152</v>
      </c>
      <c r="E62" s="360">
        <f t="shared" ca="1" si="9"/>
        <v>72.801895928253941</v>
      </c>
      <c r="F62" s="357">
        <f t="shared" ca="1" si="10"/>
        <v>74.445128712364365</v>
      </c>
      <c r="G62" s="359">
        <f t="shared" ca="1" si="11"/>
        <v>7.894449607566731</v>
      </c>
      <c r="H62" s="360">
        <f t="shared" ca="1" si="12"/>
        <v>41.828692265520232</v>
      </c>
      <c r="I62" s="357">
        <f t="shared" ca="1" si="13"/>
        <v>42.567144974146466</v>
      </c>
      <c r="J62" s="359">
        <f t="shared" ca="1" si="14"/>
        <v>2.1314012532612781</v>
      </c>
      <c r="K62" s="360">
        <f t="shared" ca="1" si="15"/>
        <v>11.775390304053468</v>
      </c>
      <c r="L62" s="357">
        <f t="shared" ca="1" si="0"/>
        <v>11.966732558021015</v>
      </c>
      <c r="M62" s="359">
        <f t="shared" ca="1" si="16"/>
        <v>1.3842576335214281</v>
      </c>
      <c r="N62" s="357">
        <f t="shared" ca="1" si="17"/>
        <v>79.312120159544861</v>
      </c>
      <c r="O62" s="343"/>
      <c r="P62" s="363">
        <f t="shared" ca="1" si="18"/>
        <v>5</v>
      </c>
      <c r="Q62" s="357">
        <f t="shared" ca="1" si="19"/>
        <v>1031.5</v>
      </c>
      <c r="R62" s="359">
        <f t="shared" ca="1" si="20"/>
        <v>0.51671162709778762</v>
      </c>
      <c r="S62" s="360">
        <f t="shared" ca="1" si="21"/>
        <v>12.21233500230519</v>
      </c>
      <c r="T62" s="357">
        <f t="shared" ca="1" si="1"/>
        <v>119.80300637261392</v>
      </c>
      <c r="U62" s="364">
        <f t="shared" ca="1" si="2"/>
        <v>0</v>
      </c>
      <c r="V62" s="359">
        <f t="shared" ca="1" si="3"/>
        <v>1.2235583634793887</v>
      </c>
      <c r="W62" s="357">
        <f t="shared" ca="1" si="4"/>
        <v>5.062603064810645</v>
      </c>
      <c r="X62" s="343"/>
      <c r="Y62" s="367" t="str">
        <f t="shared" ca="1" si="22"/>
        <v/>
      </c>
      <c r="Z62" s="368" t="str">
        <f t="shared" ca="1" si="23"/>
        <v/>
      </c>
      <c r="AA62" s="369" t="str">
        <f t="shared" ca="1" si="24"/>
        <v/>
      </c>
      <c r="AB62" s="344"/>
      <c r="AC62" s="363" t="e">
        <f t="shared" ca="1" si="25"/>
        <v>#N/A</v>
      </c>
      <c r="AD62" s="376" t="e">
        <f t="shared" ca="1" si="26"/>
        <v>#N/A</v>
      </c>
      <c r="AE62" s="377">
        <f t="shared" ca="1" si="5"/>
        <v>11.775390304053468</v>
      </c>
      <c r="AF62" s="344"/>
      <c r="AG62" s="359">
        <f t="shared" ca="1" si="27"/>
        <v>74.422994396845809</v>
      </c>
      <c r="AH62" s="357">
        <f t="shared" ca="1" si="28"/>
        <v>84.063585975812614</v>
      </c>
    </row>
    <row r="63" spans="1:34" x14ac:dyDescent="0.25">
      <c r="A63" s="402">
        <f t="shared" ca="1" si="6"/>
        <v>0.01</v>
      </c>
      <c r="B63" s="357">
        <f t="shared" ca="1" si="7"/>
        <v>0.5900000000000003</v>
      </c>
      <c r="C63" s="342"/>
      <c r="D63" s="359">
        <f t="shared" ca="1" si="8"/>
        <v>15.589197706913529</v>
      </c>
      <c r="E63" s="360">
        <f t="shared" ca="1" si="9"/>
        <v>72.789267328761341</v>
      </c>
      <c r="F63" s="357">
        <f t="shared" ca="1" si="10"/>
        <v>74.439912166814921</v>
      </c>
      <c r="G63" s="359">
        <f t="shared" ca="1" si="11"/>
        <v>8.0503415846358664</v>
      </c>
      <c r="H63" s="360">
        <f t="shared" ca="1" si="12"/>
        <v>42.556584938807845</v>
      </c>
      <c r="I63" s="357">
        <f t="shared" ca="1" si="13"/>
        <v>43.311325554446888</v>
      </c>
      <c r="J63" s="359">
        <f t="shared" ca="1" si="14"/>
        <v>2.2111252092222911</v>
      </c>
      <c r="K63" s="360">
        <f t="shared" ca="1" si="15"/>
        <v>12.197316690075109</v>
      </c>
      <c r="L63" s="357">
        <f t="shared" ca="1" si="0"/>
        <v>12.396112661993804</v>
      </c>
      <c r="M63" s="359">
        <f t="shared" ca="1" si="16"/>
        <v>1.3838375700869865</v>
      </c>
      <c r="N63" s="357">
        <f t="shared" ca="1" si="17"/>
        <v>79.28805229762358</v>
      </c>
      <c r="O63" s="343"/>
      <c r="P63" s="363">
        <f t="shared" ca="1" si="18"/>
        <v>5</v>
      </c>
      <c r="Q63" s="357">
        <f t="shared" ca="1" si="19"/>
        <v>1031.1666666666667</v>
      </c>
      <c r="R63" s="359">
        <f t="shared" ca="1" si="20"/>
        <v>0.51654464967749436</v>
      </c>
      <c r="S63" s="360">
        <f t="shared" ca="1" si="21"/>
        <v>12.207169555808415</v>
      </c>
      <c r="T63" s="357">
        <f t="shared" ca="1" si="1"/>
        <v>119.75233334248055</v>
      </c>
      <c r="U63" s="364">
        <f t="shared" ca="1" si="2"/>
        <v>0</v>
      </c>
      <c r="V63" s="359">
        <f t="shared" ca="1" si="3"/>
        <v>1.2235067393940915</v>
      </c>
      <c r="W63" s="357">
        <f t="shared" ca="1" si="4"/>
        <v>5.2409432832328342</v>
      </c>
      <c r="X63" s="343"/>
      <c r="Y63" s="367" t="str">
        <f t="shared" ca="1" si="22"/>
        <v/>
      </c>
      <c r="Z63" s="368" t="str">
        <f t="shared" ca="1" si="23"/>
        <v/>
      </c>
      <c r="AA63" s="369" t="str">
        <f t="shared" ca="1" si="24"/>
        <v/>
      </c>
      <c r="AB63" s="344"/>
      <c r="AC63" s="363" t="e">
        <f t="shared" ca="1" si="25"/>
        <v>#N/A</v>
      </c>
      <c r="AD63" s="376" t="e">
        <f t="shared" ca="1" si="26"/>
        <v>#N/A</v>
      </c>
      <c r="AE63" s="377">
        <f t="shared" ca="1" si="5"/>
        <v>12.197316690075109</v>
      </c>
      <c r="AF63" s="344"/>
      <c r="AG63" s="359">
        <f t="shared" ca="1" si="27"/>
        <v>74.417675908756109</v>
      </c>
      <c r="AH63" s="357">
        <f t="shared" ca="1" si="28"/>
        <v>84.057492517879808</v>
      </c>
    </row>
    <row r="64" spans="1:34" x14ac:dyDescent="0.25">
      <c r="A64" s="402">
        <f t="shared" ca="1" si="6"/>
        <v>0.01</v>
      </c>
      <c r="B64" s="357">
        <f t="shared" ca="1" si="7"/>
        <v>0.60000000000000031</v>
      </c>
      <c r="C64" s="342"/>
      <c r="D64" s="359">
        <f t="shared" ca="1" si="8"/>
        <v>15.622710896114956</v>
      </c>
      <c r="E64" s="360">
        <f t="shared" ca="1" si="9"/>
        <v>72.77646123710133</v>
      </c>
      <c r="F64" s="357">
        <f t="shared" ca="1" si="10"/>
        <v>74.43441681063203</v>
      </c>
      <c r="G64" s="359">
        <f t="shared" ca="1" si="11"/>
        <v>8.2065686935970152</v>
      </c>
      <c r="H64" s="360">
        <f t="shared" ca="1" si="12"/>
        <v>43.284349551178856</v>
      </c>
      <c r="I64" s="357">
        <f t="shared" ca="1" si="13"/>
        <v>44.055450125851216</v>
      </c>
      <c r="J64" s="359">
        <f t="shared" ca="1" si="14"/>
        <v>2.2924097606134555</v>
      </c>
      <c r="K64" s="360">
        <f t="shared" ca="1" si="15"/>
        <v>12.626521362525043</v>
      </c>
      <c r="L64" s="357">
        <f t="shared" ca="1" si="0"/>
        <v>12.832933578447959</v>
      </c>
      <c r="M64" s="359">
        <f t="shared" ca="1" si="16"/>
        <v>1.3834236826829436</v>
      </c>
      <c r="N64" s="357">
        <f t="shared" ca="1" si="17"/>
        <v>79.264338296178295</v>
      </c>
      <c r="O64" s="343"/>
      <c r="P64" s="363">
        <f t="shared" ca="1" si="18"/>
        <v>5</v>
      </c>
      <c r="Q64" s="357">
        <f t="shared" ca="1" si="19"/>
        <v>1030.8333333333333</v>
      </c>
      <c r="R64" s="359">
        <f t="shared" ca="1" si="20"/>
        <v>0.51637767225720088</v>
      </c>
      <c r="S64" s="360">
        <f t="shared" ca="1" si="21"/>
        <v>12.202005779085843</v>
      </c>
      <c r="T64" s="357">
        <f t="shared" ca="1" si="1"/>
        <v>119.70167669283212</v>
      </c>
      <c r="U64" s="364">
        <f t="shared" ca="1" si="2"/>
        <v>0</v>
      </c>
      <c r="V64" s="359">
        <f t="shared" ca="1" si="3"/>
        <v>1.2234542270198685</v>
      </c>
      <c r="W64" s="357">
        <f t="shared" ca="1" si="4"/>
        <v>5.4223450985018475</v>
      </c>
      <c r="X64" s="343"/>
      <c r="Y64" s="367" t="str">
        <f t="shared" ca="1" si="22"/>
        <v/>
      </c>
      <c r="Z64" s="368" t="str">
        <f t="shared" ca="1" si="23"/>
        <v/>
      </c>
      <c r="AA64" s="369" t="str">
        <f t="shared" ca="1" si="24"/>
        <v/>
      </c>
      <c r="AB64" s="344"/>
      <c r="AC64" s="363" t="e">
        <f t="shared" ca="1" si="25"/>
        <v>#N/A</v>
      </c>
      <c r="AD64" s="376" t="e">
        <f t="shared" ca="1" si="26"/>
        <v>#N/A</v>
      </c>
      <c r="AE64" s="377">
        <f t="shared" ca="1" si="5"/>
        <v>12.626521362525043</v>
      </c>
      <c r="AF64" s="344"/>
      <c r="AG64" s="359">
        <f t="shared" ca="1" si="27"/>
        <v>74.412079799376983</v>
      </c>
      <c r="AH64" s="357">
        <f t="shared" ca="1" si="28"/>
        <v>84.051131315472659</v>
      </c>
    </row>
    <row r="65" spans="1:34" x14ac:dyDescent="0.25">
      <c r="A65" s="402">
        <f t="shared" ca="1" si="6"/>
        <v>0.01</v>
      </c>
      <c r="B65" s="357">
        <f t="shared" ca="1" si="7"/>
        <v>0.61000000000000032</v>
      </c>
      <c r="C65" s="342"/>
      <c r="D65" s="359">
        <f t="shared" ca="1" si="8"/>
        <v>15.65565619457394</v>
      </c>
      <c r="E65" s="360">
        <f t="shared" ca="1" si="9"/>
        <v>72.763475039297958</v>
      </c>
      <c r="F65" s="357">
        <f t="shared" ca="1" si="10"/>
        <v>74.428642810931592</v>
      </c>
      <c r="G65" s="359">
        <f t="shared" ca="1" si="11"/>
        <v>8.3631252555427551</v>
      </c>
      <c r="H65" s="360">
        <f t="shared" ca="1" si="12"/>
        <v>44.011984301571836</v>
      </c>
      <c r="I65" s="357">
        <f t="shared" ca="1" si="13"/>
        <v>44.799515914814336</v>
      </c>
      <c r="J65" s="359">
        <f t="shared" ca="1" si="14"/>
        <v>2.3752582303591545</v>
      </c>
      <c r="K65" s="360">
        <f t="shared" ca="1" si="15"/>
        <v>13.063003031788798</v>
      </c>
      <c r="L65" s="357">
        <f t="shared" ca="1" si="0"/>
        <v>13.277194728910629</v>
      </c>
      <c r="M65" s="359">
        <f t="shared" ca="1" si="16"/>
        <v>1.383015778964416</v>
      </c>
      <c r="N65" s="357">
        <f t="shared" ca="1" si="17"/>
        <v>79.240967134658973</v>
      </c>
      <c r="O65" s="343"/>
      <c r="P65" s="363">
        <f t="shared" ca="1" si="18"/>
        <v>5</v>
      </c>
      <c r="Q65" s="357">
        <f t="shared" ca="1" si="19"/>
        <v>1030.5</v>
      </c>
      <c r="R65" s="359">
        <f t="shared" ca="1" si="20"/>
        <v>0.51621069483690762</v>
      </c>
      <c r="S65" s="360">
        <f t="shared" ca="1" si="21"/>
        <v>12.196843672137474</v>
      </c>
      <c r="T65" s="357">
        <f t="shared" ca="1" si="1"/>
        <v>119.65103642366863</v>
      </c>
      <c r="U65" s="364">
        <f t="shared" ca="1" si="2"/>
        <v>0</v>
      </c>
      <c r="V65" s="359">
        <f t="shared" ca="1" si="3"/>
        <v>1.2234008266289358</v>
      </c>
      <c r="W65" s="357">
        <f t="shared" ca="1" si="4"/>
        <v>5.6068063267567201</v>
      </c>
      <c r="X65" s="343"/>
      <c r="Y65" s="367" t="str">
        <f t="shared" ca="1" si="22"/>
        <v/>
      </c>
      <c r="Z65" s="368" t="str">
        <f t="shared" ca="1" si="23"/>
        <v/>
      </c>
      <c r="AA65" s="369" t="str">
        <f t="shared" ca="1" si="24"/>
        <v/>
      </c>
      <c r="AB65" s="344"/>
      <c r="AC65" s="363" t="e">
        <f t="shared" ca="1" si="25"/>
        <v>#N/A</v>
      </c>
      <c r="AD65" s="376" t="e">
        <f t="shared" ca="1" si="26"/>
        <v>#N/A</v>
      </c>
      <c r="AE65" s="377">
        <f t="shared" ca="1" si="5"/>
        <v>13.063003031788798</v>
      </c>
      <c r="AF65" s="344"/>
      <c r="AG65" s="359">
        <f t="shared" ca="1" si="27"/>
        <v>74.406206196950606</v>
      </c>
      <c r="AH65" s="357">
        <f t="shared" ca="1" si="28"/>
        <v>84.044502205368943</v>
      </c>
    </row>
    <row r="66" spans="1:34" x14ac:dyDescent="0.25">
      <c r="A66" s="402">
        <f t="shared" ca="1" si="6"/>
        <v>0.01</v>
      </c>
      <c r="B66" s="357">
        <f t="shared" ca="1" si="7"/>
        <v>0.62000000000000033</v>
      </c>
      <c r="C66" s="342"/>
      <c r="D66" s="359">
        <f t="shared" ca="1" si="8"/>
        <v>15.688049361307877</v>
      </c>
      <c r="E66" s="360">
        <f t="shared" ca="1" si="9"/>
        <v>72.750306238933206</v>
      </c>
      <c r="F66" s="357">
        <f t="shared" ca="1" si="10"/>
        <v>74.422590324587574</v>
      </c>
      <c r="G66" s="359">
        <f t="shared" ca="1" si="11"/>
        <v>8.5200057491558336</v>
      </c>
      <c r="H66" s="360">
        <f t="shared" ca="1" si="12"/>
        <v>44.739487363961167</v>
      </c>
      <c r="I66" s="357">
        <f t="shared" ca="1" si="13"/>
        <v>45.543520148926667</v>
      </c>
      <c r="J66" s="359">
        <f t="shared" ca="1" si="14"/>
        <v>2.4596738853826476</v>
      </c>
      <c r="K66" s="360">
        <f t="shared" ca="1" si="15"/>
        <v>13.506760390116462</v>
      </c>
      <c r="L66" s="357">
        <f t="shared" ca="1" si="0"/>
        <v>13.728895507594643</v>
      </c>
      <c r="M66" s="359">
        <f t="shared" ca="1" si="16"/>
        <v>1.3826136756025496</v>
      </c>
      <c r="N66" s="357">
        <f t="shared" ca="1" si="17"/>
        <v>79.21792830909601</v>
      </c>
      <c r="O66" s="343"/>
      <c r="P66" s="363">
        <f t="shared" ca="1" si="18"/>
        <v>5</v>
      </c>
      <c r="Q66" s="357">
        <f t="shared" ca="1" si="19"/>
        <v>1030.1666666666667</v>
      </c>
      <c r="R66" s="359">
        <f t="shared" ca="1" si="20"/>
        <v>0.51604371741661426</v>
      </c>
      <c r="S66" s="360">
        <f t="shared" ca="1" si="21"/>
        <v>12.191683234963309</v>
      </c>
      <c r="T66" s="357">
        <f t="shared" ca="1" si="1"/>
        <v>119.60041253499007</v>
      </c>
      <c r="U66" s="364">
        <f t="shared" ca="1" si="2"/>
        <v>0</v>
      </c>
      <c r="V66" s="359">
        <f t="shared" ca="1" si="3"/>
        <v>1.2233465384976274</v>
      </c>
      <c r="W66" s="357">
        <f t="shared" ca="1" si="4"/>
        <v>5.7943247253757351</v>
      </c>
      <c r="X66" s="343"/>
      <c r="Y66" s="367" t="str">
        <f t="shared" ca="1" si="22"/>
        <v/>
      </c>
      <c r="Z66" s="368" t="str">
        <f t="shared" ca="1" si="23"/>
        <v/>
      </c>
      <c r="AA66" s="369" t="str">
        <f t="shared" ca="1" si="24"/>
        <v/>
      </c>
      <c r="AB66" s="344"/>
      <c r="AC66" s="363" t="e">
        <f t="shared" ca="1" si="25"/>
        <v>#N/A</v>
      </c>
      <c r="AD66" s="376" t="e">
        <f t="shared" ca="1" si="26"/>
        <v>#N/A</v>
      </c>
      <c r="AE66" s="377">
        <f t="shared" ca="1" si="5"/>
        <v>13.506760390116462</v>
      </c>
      <c r="AF66" s="344"/>
      <c r="AG66" s="359">
        <f t="shared" ca="1" si="27"/>
        <v>74.400055221222587</v>
      </c>
      <c r="AH66" s="357">
        <f t="shared" ca="1" si="28"/>
        <v>84.037605029113394</v>
      </c>
    </row>
    <row r="67" spans="1:34" x14ac:dyDescent="0.25">
      <c r="A67" s="402">
        <f t="shared" ca="1" si="6"/>
        <v>0.01</v>
      </c>
      <c r="B67" s="357">
        <f t="shared" ca="1" si="7"/>
        <v>0.63000000000000034</v>
      </c>
      <c r="C67" s="342"/>
      <c r="D67" s="359">
        <f t="shared" ca="1" si="8"/>
        <v>15.719905409953995</v>
      </c>
      <c r="E67" s="360">
        <f t="shared" ca="1" si="9"/>
        <v>72.736952450235691</v>
      </c>
      <c r="F67" s="357">
        <f t="shared" ca="1" si="10"/>
        <v>74.416259499156155</v>
      </c>
      <c r="G67" s="359">
        <f t="shared" ca="1" si="11"/>
        <v>8.677204803255373</v>
      </c>
      <c r="H67" s="360">
        <f t="shared" ca="1" si="12"/>
        <v>45.466856888463525</v>
      </c>
      <c r="I67" s="357">
        <f t="shared" ca="1" si="13"/>
        <v>46.287460056841105</v>
      </c>
      <c r="J67" s="359">
        <f t="shared" ca="1" si="14"/>
        <v>2.5456599381447038</v>
      </c>
      <c r="K67" s="360">
        <f t="shared" ca="1" si="15"/>
        <v>13.957792111378586</v>
      </c>
      <c r="L67" s="357">
        <f t="shared" ca="1" si="0"/>
        <v>14.188035281360742</v>
      </c>
      <c r="M67" s="359">
        <f t="shared" ca="1" si="16"/>
        <v>1.3822171977237006</v>
      </c>
      <c r="N67" s="357">
        <f t="shared" ca="1" si="17"/>
        <v>79.195211799967666</v>
      </c>
      <c r="O67" s="343"/>
      <c r="P67" s="363">
        <f t="shared" ca="1" si="18"/>
        <v>5</v>
      </c>
      <c r="Q67" s="357">
        <f t="shared" ca="1" si="19"/>
        <v>1029.8333333333333</v>
      </c>
      <c r="R67" s="359">
        <f t="shared" ca="1" si="20"/>
        <v>0.51587673999632078</v>
      </c>
      <c r="S67" s="360">
        <f t="shared" ca="1" si="21"/>
        <v>12.186524467563345</v>
      </c>
      <c r="T67" s="357">
        <f t="shared" ca="1" si="1"/>
        <v>119.54980502679642</v>
      </c>
      <c r="U67" s="364">
        <f t="shared" ca="1" si="2"/>
        <v>0</v>
      </c>
      <c r="V67" s="359">
        <f t="shared" ca="1" si="3"/>
        <v>1.2232913629064235</v>
      </c>
      <c r="W67" s="357">
        <f t="shared" ca="1" si="4"/>
        <v>5.9848979930210842</v>
      </c>
      <c r="X67" s="343"/>
      <c r="Y67" s="367" t="str">
        <f t="shared" ca="1" si="22"/>
        <v/>
      </c>
      <c r="Z67" s="368" t="str">
        <f t="shared" ca="1" si="23"/>
        <v/>
      </c>
      <c r="AA67" s="369" t="str">
        <f t="shared" ca="1" si="24"/>
        <v/>
      </c>
      <c r="AB67" s="344"/>
      <c r="AC67" s="363" t="e">
        <f t="shared" ca="1" si="25"/>
        <v>#N/A</v>
      </c>
      <c r="AD67" s="376" t="e">
        <f t="shared" ca="1" si="26"/>
        <v>#N/A</v>
      </c>
      <c r="AE67" s="377">
        <f t="shared" ca="1" si="5"/>
        <v>13.957792111378586</v>
      </c>
      <c r="AF67" s="344"/>
      <c r="AG67" s="359">
        <f t="shared" ca="1" si="27"/>
        <v>74.393626984259527</v>
      </c>
      <c r="AH67" s="357">
        <f t="shared" ca="1" si="28"/>
        <v>84.0304396330245</v>
      </c>
    </row>
    <row r="68" spans="1:34" x14ac:dyDescent="0.25">
      <c r="A68" s="402">
        <f t="shared" ca="1" si="6"/>
        <v>0.01</v>
      </c>
      <c r="B68" s="357">
        <f t="shared" ca="1" si="7"/>
        <v>0.64000000000000035</v>
      </c>
      <c r="C68" s="342"/>
      <c r="D68" s="359">
        <f t="shared" ca="1" si="8"/>
        <v>15.751238655311635</v>
      </c>
      <c r="E68" s="360">
        <f t="shared" ca="1" si="9"/>
        <v>72.723411391697439</v>
      </c>
      <c r="F68" s="357">
        <f t="shared" ca="1" si="10"/>
        <v>74.409650473729911</v>
      </c>
      <c r="G68" s="359">
        <f t="shared" ca="1" si="11"/>
        <v>8.8347171898084902</v>
      </c>
      <c r="H68" s="360">
        <f t="shared" ca="1" si="12"/>
        <v>46.194091002380496</v>
      </c>
      <c r="I68" s="357">
        <f t="shared" ca="1" si="13"/>
        <v>47.031332868207215</v>
      </c>
      <c r="J68" s="359">
        <f t="shared" ca="1" si="14"/>
        <v>2.6332195481100231</v>
      </c>
      <c r="K68" s="360">
        <f t="shared" ca="1" si="15"/>
        <v>14.416096850832806</v>
      </c>
      <c r="L68" s="357">
        <f t="shared" ref="L68:L131" ca="1" si="29">SQRT(pos_x^2+pos_z^2)</f>
        <v>14.654613389685185</v>
      </c>
      <c r="M68" s="359">
        <f t="shared" ca="1" si="16"/>
        <v>1.3818261783918231</v>
      </c>
      <c r="N68" s="357">
        <f t="shared" ca="1" si="17"/>
        <v>79.172808042543053</v>
      </c>
      <c r="O68" s="343"/>
      <c r="P68" s="363">
        <f t="shared" ca="1" si="18"/>
        <v>5</v>
      </c>
      <c r="Q68" s="357">
        <f t="shared" ca="1" si="19"/>
        <v>1029.5</v>
      </c>
      <c r="R68" s="359">
        <f t="shared" ca="1" si="20"/>
        <v>0.51570976257602752</v>
      </c>
      <c r="S68" s="360">
        <f t="shared" ca="1" si="21"/>
        <v>12.181367369937584</v>
      </c>
      <c r="T68" s="357">
        <f t="shared" ref="T68:T131" ca="1" si="30">m*g</f>
        <v>119.49921389908771</v>
      </c>
      <c r="U68" s="364">
        <f t="shared" ref="U68:U131" ca="1" si="31">IF(pos_xz&lt;L_rampe,Poids*COS(Beta),0)</f>
        <v>0</v>
      </c>
      <c r="V68" s="359">
        <f t="shared" ref="V68:V131" ca="1" si="32">Rho_moyen*(20000-Alt_rampe-pos_z)/(20000+Alt_rampe+pos_z)</f>
        <v>1.2232353001399778</v>
      </c>
      <c r="W68" s="357">
        <f t="shared" ref="W68:W131" ca="1" si="33">1/2*Rho*Sref*Cx*vit_xz^2</f>
        <v>6.1785237696847082</v>
      </c>
      <c r="X68" s="343"/>
      <c r="Y68" s="367" t="str">
        <f t="shared" ca="1" si="22"/>
        <v/>
      </c>
      <c r="Z68" s="368" t="str">
        <f t="shared" ca="1" si="23"/>
        <v/>
      </c>
      <c r="AA68" s="369" t="str">
        <f t="shared" ca="1" si="24"/>
        <v/>
      </c>
      <c r="AB68" s="344"/>
      <c r="AC68" s="363" t="e">
        <f t="shared" ca="1" si="25"/>
        <v>#N/A</v>
      </c>
      <c r="AD68" s="376" t="e">
        <f t="shared" ca="1" si="26"/>
        <v>#N/A</v>
      </c>
      <c r="AE68" s="377">
        <f t="shared" ref="AE68:AE131" ca="1" si="34">IF(t&lt;T_para, pos_z, NA())</f>
        <v>14.416096850832806</v>
      </c>
      <c r="AF68" s="344"/>
      <c r="AG68" s="359">
        <f t="shared" ca="1" si="27"/>
        <v>74.386921591204654</v>
      </c>
      <c r="AH68" s="357">
        <f t="shared" ca="1" si="28"/>
        <v>84.023005868201096</v>
      </c>
    </row>
    <row r="69" spans="1:34" x14ac:dyDescent="0.25">
      <c r="A69" s="402">
        <f t="shared" ref="A69:A132" ca="1" si="35">IF(B68+0.01&lt;=T_ini+ROUNDUP(Temps_fin_propu,0), 0.01, IF(K68&gt;0, 0.1, 0.0001))</f>
        <v>0.01</v>
      </c>
      <c r="B69" s="357">
        <f t="shared" ref="B69:B132" ca="1" si="36">B68+pas</f>
        <v>0.65000000000000036</v>
      </c>
      <c r="C69" s="342"/>
      <c r="D69" s="359">
        <f t="shared" ref="D69:D132" ca="1" si="37">IF(AND(L68&lt;L_rampe,Poussee&lt;Poids*SIN(M68)),0,(-W68+Poussee)/m*COS(M68)-U68/m*SIN(M68))</f>
        <v>15.782062756294556</v>
      </c>
      <c r="E69" s="360">
        <f t="shared" ref="E69:E132" ca="1" si="38">IF(AND(L68&lt;L_rampe,Poussee&lt;Poids*SIN(M68)),0,(-W68+Poussee)/m*SIN(M68)+U68/m*COS(M68)-Poids/m)</f>
        <v>72.709680880170211</v>
      </c>
      <c r="F69" s="357">
        <f t="shared" ref="F69:F132" ca="1" si="39">SQRT(acc_x^2+acc_z^2)</f>
        <v>74.4027633797281</v>
      </c>
      <c r="G69" s="359">
        <f t="shared" ref="G69:G132" ca="1" si="40">G68+acc_x*pas</f>
        <v>8.992537817371435</v>
      </c>
      <c r="H69" s="360">
        <f t="shared" ref="H69:H132" ca="1" si="41">H68+acc_z*pas</f>
        <v>46.9211878111822</v>
      </c>
      <c r="I69" s="357">
        <f t="shared" ref="I69:I132" ca="1" si="42">SQRT(vit_x^2+vit_z^2)</f>
        <v>47.775135813612174</v>
      </c>
      <c r="J69" s="359">
        <f t="shared" ref="J69:J132" ca="1" si="43">J68+0.5*(vit_x+G68)*pas*(K68&gt;=0)</f>
        <v>2.7223558231459228</v>
      </c>
      <c r="K69" s="360">
        <f t="shared" ref="K69:K132" ca="1" si="44">K68+0.5*(vit_z+H68)*pas</f>
        <v>14.88167324490062</v>
      </c>
      <c r="L69" s="357">
        <f t="shared" ca="1" si="29"/>
        <v>15.128629144631956</v>
      </c>
      <c r="M69" s="359">
        <f t="shared" ref="M69:M132" ca="1" si="45">IF(AND(L68&gt;L_rampe,G69&gt;0),ATAN2(G69,H69),$M$4)</f>
        <v>1.381440458130113</v>
      </c>
      <c r="N69" s="357">
        <f t="shared" ref="N69:N132" ca="1" si="46">DEGREES(Beta)</f>
        <v>79.150707899474384</v>
      </c>
      <c r="O69" s="343"/>
      <c r="P69" s="363">
        <f t="shared" ref="P69:P132" ca="1" si="47">MATCH(t-pas/2-T_ini,CdP_t)</f>
        <v>5</v>
      </c>
      <c r="Q69" s="357">
        <f t="shared" ref="Q69:Q132" ca="1" si="48">(INDEX(CdP,2,i_P+1)-INDEX(CdP,2,i_P+0))/(INDEX(CdP,1,i_P+1)-INDEX(CdP,1,i_P+0))*(t-pas/2-T_ini-INDEX(CdP,1,i_P+0))+INDEX(CdP,2,i_P+0)</f>
        <v>1029.1666666666667</v>
      </c>
      <c r="R69" s="359">
        <f t="shared" ref="R69:R132" ca="1" si="49">Poussee/(g*ISP)</f>
        <v>0.51554278515573415</v>
      </c>
      <c r="S69" s="360">
        <f t="shared" ref="S69:S132" ca="1" si="50">S68-Débit*pas</f>
        <v>12.176211942086027</v>
      </c>
      <c r="T69" s="357">
        <f t="shared" ca="1" si="30"/>
        <v>119.44863915186393</v>
      </c>
      <c r="U69" s="364">
        <f t="shared" ca="1" si="31"/>
        <v>0</v>
      </c>
      <c r="V69" s="359">
        <f t="shared" ca="1" si="32"/>
        <v>1.2231783504871405</v>
      </c>
      <c r="W69" s="357">
        <f t="shared" ca="1" si="33"/>
        <v>6.3751996367353438</v>
      </c>
      <c r="X69" s="343"/>
      <c r="Y69" s="367" t="str">
        <f t="shared" ref="Y69:Y132" ca="1" si="51">IF(AND(pos_z&lt;=0,K68&gt;0),"Impact balistique","") &amp; IF(AND(H70&lt;0,vit_z&gt;=0),"Apogée","") &amp; IF(AND(Poussee=0,Q68&gt;0),"Fin de propulsion","") &amp; IF(AND(L70&gt;L_rampe,pos_xz&lt;=L_rampe),"Sortie de rampe","")</f>
        <v/>
      </c>
      <c r="Z69" s="368" t="str">
        <f t="shared" ref="Z69:Z132" ca="1" si="52">IF(ABS(t-T_para)&lt;pas/2,"Para","")</f>
        <v/>
      </c>
      <c r="AA69" s="369" t="str">
        <f t="shared" ref="AA69:AA132" ca="1" si="53">IF(ABS(t-T_satellite)&lt;pas/2,"Satellite","")</f>
        <v/>
      </c>
      <c r="AB69" s="344"/>
      <c r="AC69" s="363" t="e">
        <f t="shared" ref="AC69:AC132" ca="1" si="54">IF(ABS(t-ROUND(t,0))&lt;0.001,t,NA())</f>
        <v>#N/A</v>
      </c>
      <c r="AD69" s="376" t="e">
        <f t="shared" ref="AD69:AD132" ca="1" si="55">IF(ABS(t-ROUND(t,0))&lt;0.001,pos_x,NA())</f>
        <v>#N/A</v>
      </c>
      <c r="AE69" s="377">
        <f t="shared" ca="1" si="34"/>
        <v>14.88167324490062</v>
      </c>
      <c r="AF69" s="344"/>
      <c r="AG69" s="359">
        <f t="shared" ref="AG69:AG132" ca="1" si="56">IF(AND(L68&lt;L_rampe,Poussee&lt;Poids*SIN(M68)),0,(-W68+Poussee)/m-Poids*SIN(M68)/m)</f>
        <v>74.379939140977342</v>
      </c>
      <c r="AH69" s="357">
        <f t="shared" ref="AH69:AH132" ca="1" si="57">IF(AND(L68&lt;L_rampe,Poussee&lt;Poids*SIN(M68)), g*SIN(M68), (-W68+Poussee)/m)</f>
        <v>84.015303590528973</v>
      </c>
    </row>
    <row r="70" spans="1:34" x14ac:dyDescent="0.25">
      <c r="A70" s="402">
        <f t="shared" ca="1" si="35"/>
        <v>0.01</v>
      </c>
      <c r="B70" s="357">
        <f t="shared" ca="1" si="36"/>
        <v>0.66000000000000036</v>
      </c>
      <c r="C70" s="342"/>
      <c r="D70" s="359">
        <f t="shared" ca="1" si="37"/>
        <v>15.812390755621728</v>
      </c>
      <c r="E70" s="360">
        <f t="shared" ca="1" si="38"/>
        <v>72.695758825399068</v>
      </c>
      <c r="F70" s="357">
        <f t="shared" ca="1" si="39"/>
        <v>74.395598341629452</v>
      </c>
      <c r="G70" s="359">
        <f t="shared" ca="1" si="40"/>
        <v>9.1506617249276516</v>
      </c>
      <c r="H70" s="360">
        <f t="shared" ca="1" si="41"/>
        <v>47.648145399436189</v>
      </c>
      <c r="I70" s="357">
        <f t="shared" ca="1" si="42"/>
        <v>48.518866124527968</v>
      </c>
      <c r="J70" s="359">
        <f t="shared" ca="1" si="43"/>
        <v>2.8130718208574184</v>
      </c>
      <c r="K70" s="360">
        <f t="shared" ca="1" si="44"/>
        <v>15.354519910953712</v>
      </c>
      <c r="L70" s="357">
        <f t="shared" ca="1" si="29"/>
        <v>15.61008183082895</v>
      </c>
      <c r="M70" s="359">
        <f t="shared" ca="1" si="45"/>
        <v>1.3810598844783739</v>
      </c>
      <c r="N70" s="357">
        <f t="shared" ca="1" si="46"/>
        <v>79.12890263543585</v>
      </c>
      <c r="O70" s="343"/>
      <c r="P70" s="363">
        <f t="shared" ca="1" si="47"/>
        <v>5</v>
      </c>
      <c r="Q70" s="357">
        <f t="shared" ca="1" si="48"/>
        <v>1028.8333333333333</v>
      </c>
      <c r="R70" s="359">
        <f t="shared" ca="1" si="49"/>
        <v>0.51537580773544078</v>
      </c>
      <c r="S70" s="360">
        <f t="shared" ca="1" si="50"/>
        <v>12.171058184008674</v>
      </c>
      <c r="T70" s="357">
        <f t="shared" ca="1" si="30"/>
        <v>119.39808078512509</v>
      </c>
      <c r="U70" s="364">
        <f t="shared" ca="1" si="31"/>
        <v>0</v>
      </c>
      <c r="V70" s="359">
        <f t="shared" ca="1" si="32"/>
        <v>1.2231205142409838</v>
      </c>
      <c r="W70" s="357">
        <f t="shared" ca="1" si="33"/>
        <v>6.5749231169669295</v>
      </c>
      <c r="X70" s="343"/>
      <c r="Y70" s="367" t="str">
        <f t="shared" ca="1" si="51"/>
        <v/>
      </c>
      <c r="Z70" s="368" t="str">
        <f t="shared" ca="1" si="52"/>
        <v/>
      </c>
      <c r="AA70" s="369" t="str">
        <f t="shared" ca="1" si="53"/>
        <v/>
      </c>
      <c r="AB70" s="344"/>
      <c r="AC70" s="363" t="e">
        <f t="shared" ca="1" si="54"/>
        <v>#N/A</v>
      </c>
      <c r="AD70" s="376" t="e">
        <f t="shared" ca="1" si="55"/>
        <v>#N/A</v>
      </c>
      <c r="AE70" s="377">
        <f t="shared" ca="1" si="34"/>
        <v>15.354519910953712</v>
      </c>
      <c r="AF70" s="344"/>
      <c r="AG70" s="359">
        <f t="shared" ca="1" si="56"/>
        <v>74.372679726921149</v>
      </c>
      <c r="AH70" s="357">
        <f t="shared" ca="1" si="57"/>
        <v>84.007332660687354</v>
      </c>
    </row>
    <row r="71" spans="1:34" x14ac:dyDescent="0.25">
      <c r="A71" s="402">
        <f t="shared" ca="1" si="35"/>
        <v>0.01</v>
      </c>
      <c r="B71" s="357">
        <f t="shared" ca="1" si="36"/>
        <v>0.67000000000000037</v>
      </c>
      <c r="C71" s="342"/>
      <c r="D71" s="359">
        <f t="shared" ca="1" si="37"/>
        <v>15.84223511654046</v>
      </c>
      <c r="E71" s="360">
        <f t="shared" ca="1" si="38"/>
        <v>72.681643224953916</v>
      </c>
      <c r="F71" s="357">
        <f t="shared" ca="1" si="39"/>
        <v>74.388155477651395</v>
      </c>
      <c r="G71" s="359">
        <f t="shared" ca="1" si="40"/>
        <v>9.3090840760930558</v>
      </c>
      <c r="H71" s="360">
        <f t="shared" ca="1" si="41"/>
        <v>48.374961831685731</v>
      </c>
      <c r="I71" s="357">
        <f t="shared" ca="1" si="42"/>
        <v>49.262521033264434</v>
      </c>
      <c r="J71" s="359">
        <f t="shared" ca="1" si="43"/>
        <v>2.9053705498625217</v>
      </c>
      <c r="K71" s="360">
        <f t="shared" ca="1" si="44"/>
        <v>15.834635447109322</v>
      </c>
      <c r="L71" s="357">
        <f t="shared" ca="1" si="29"/>
        <v>16.098970705447584</v>
      </c>
      <c r="M71" s="359">
        <f t="shared" ca="1" si="45"/>
        <v>1.380684311582939</v>
      </c>
      <c r="N71" s="357">
        <f t="shared" ca="1" si="46"/>
        <v>79.107383893627926</v>
      </c>
      <c r="O71" s="343"/>
      <c r="P71" s="363">
        <f t="shared" ca="1" si="47"/>
        <v>5</v>
      </c>
      <c r="Q71" s="357">
        <f t="shared" ca="1" si="48"/>
        <v>1028.5</v>
      </c>
      <c r="R71" s="359">
        <f t="shared" ca="1" si="49"/>
        <v>0.51520883031514741</v>
      </c>
      <c r="S71" s="360">
        <f t="shared" ca="1" si="50"/>
        <v>12.165906095705521</v>
      </c>
      <c r="T71" s="357">
        <f t="shared" ca="1" si="30"/>
        <v>119.34753879887117</v>
      </c>
      <c r="U71" s="364">
        <f t="shared" ca="1" si="31"/>
        <v>0</v>
      </c>
      <c r="V71" s="359">
        <f t="shared" ca="1" si="32"/>
        <v>1.2230617916988227</v>
      </c>
      <c r="W71" s="357">
        <f t="shared" ca="1" si="33"/>
        <v>6.7776916746483318</v>
      </c>
      <c r="X71" s="343"/>
      <c r="Y71" s="367" t="str">
        <f t="shared" ca="1" si="51"/>
        <v/>
      </c>
      <c r="Z71" s="368" t="str">
        <f t="shared" ca="1" si="52"/>
        <v/>
      </c>
      <c r="AA71" s="369" t="str">
        <f t="shared" ca="1" si="53"/>
        <v/>
      </c>
      <c r="AB71" s="344"/>
      <c r="AC71" s="363" t="e">
        <f t="shared" ca="1" si="54"/>
        <v>#N/A</v>
      </c>
      <c r="AD71" s="376" t="e">
        <f t="shared" ca="1" si="55"/>
        <v>#N/A</v>
      </c>
      <c r="AE71" s="377">
        <f t="shared" ca="1" si="34"/>
        <v>15.834635447109322</v>
      </c>
      <c r="AF71" s="344"/>
      <c r="AG71" s="359">
        <f t="shared" ca="1" si="56"/>
        <v>74.36514343740518</v>
      </c>
      <c r="AH71" s="357">
        <f t="shared" ca="1" si="57"/>
        <v>83.999092944155251</v>
      </c>
    </row>
    <row r="72" spans="1:34" x14ac:dyDescent="0.25">
      <c r="A72" s="402">
        <f t="shared" ca="1" si="35"/>
        <v>0.01</v>
      </c>
      <c r="B72" s="357">
        <f t="shared" ca="1" si="36"/>
        <v>0.68000000000000038</v>
      </c>
      <c r="C72" s="342"/>
      <c r="D72" s="359">
        <f t="shared" ca="1" si="37"/>
        <v>15.871607756845176</v>
      </c>
      <c r="E72" s="360">
        <f t="shared" ca="1" si="38"/>
        <v>72.667332159525046</v>
      </c>
      <c r="F72" s="357">
        <f t="shared" ca="1" si="39"/>
        <v>74.380434900381502</v>
      </c>
      <c r="G72" s="359">
        <f t="shared" ca="1" si="40"/>
        <v>9.4678001536615071</v>
      </c>
      <c r="H72" s="360">
        <f t="shared" ca="1" si="41"/>
        <v>49.101635153280981</v>
      </c>
      <c r="I72" s="357">
        <f t="shared" ca="1" si="42"/>
        <v>50.006097772927568</v>
      </c>
      <c r="J72" s="359">
        <f t="shared" ca="1" si="43"/>
        <v>2.9992549710112946</v>
      </c>
      <c r="K72" s="360">
        <f t="shared" ca="1" si="44"/>
        <v>16.322018432034156</v>
      </c>
      <c r="L72" s="357">
        <f t="shared" ca="1" si="29"/>
        <v>16.595294998185437</v>
      </c>
      <c r="M72" s="359">
        <f t="shared" ca="1" si="45"/>
        <v>1.3803135998163045</v>
      </c>
      <c r="N72" s="357">
        <f t="shared" ca="1" si="46"/>
        <v>79.086143673983926</v>
      </c>
      <c r="O72" s="343"/>
      <c r="P72" s="363">
        <f t="shared" ca="1" si="47"/>
        <v>5</v>
      </c>
      <c r="Q72" s="357">
        <f t="shared" ca="1" si="48"/>
        <v>1028.1666666666667</v>
      </c>
      <c r="R72" s="359">
        <f t="shared" ca="1" si="49"/>
        <v>0.51504185289485416</v>
      </c>
      <c r="S72" s="360">
        <f t="shared" ca="1" si="50"/>
        <v>12.160755677176573</v>
      </c>
      <c r="T72" s="357">
        <f t="shared" ca="1" si="30"/>
        <v>119.29701319310219</v>
      </c>
      <c r="U72" s="364">
        <f t="shared" ca="1" si="31"/>
        <v>0</v>
      </c>
      <c r="V72" s="359">
        <f t="shared" ca="1" si="32"/>
        <v>1.2230021831622384</v>
      </c>
      <c r="W72" s="357">
        <f t="shared" ca="1" si="33"/>
        <v>6.9835027155745077</v>
      </c>
      <c r="X72" s="343"/>
      <c r="Y72" s="367" t="str">
        <f t="shared" ca="1" si="51"/>
        <v/>
      </c>
      <c r="Z72" s="368" t="str">
        <f t="shared" ca="1" si="52"/>
        <v/>
      </c>
      <c r="AA72" s="369" t="str">
        <f t="shared" ca="1" si="53"/>
        <v/>
      </c>
      <c r="AB72" s="344"/>
      <c r="AC72" s="363" t="e">
        <f t="shared" ca="1" si="54"/>
        <v>#N/A</v>
      </c>
      <c r="AD72" s="376" t="e">
        <f t="shared" ca="1" si="55"/>
        <v>#N/A</v>
      </c>
      <c r="AE72" s="377">
        <f t="shared" ca="1" si="34"/>
        <v>16.322018432034156</v>
      </c>
      <c r="AF72" s="344"/>
      <c r="AG72" s="359">
        <f t="shared" ca="1" si="56"/>
        <v>74.357330356382718</v>
      </c>
      <c r="AH72" s="357">
        <f t="shared" ca="1" si="57"/>
        <v>83.990584311217717</v>
      </c>
    </row>
    <row r="73" spans="1:34" x14ac:dyDescent="0.25">
      <c r="A73" s="402">
        <f t="shared" ca="1" si="35"/>
        <v>0.01</v>
      </c>
      <c r="B73" s="357">
        <f t="shared" ca="1" si="36"/>
        <v>0.69000000000000039</v>
      </c>
      <c r="C73" s="342"/>
      <c r="D73" s="359">
        <f t="shared" ca="1" si="37"/>
        <v>15.90052008042826</v>
      </c>
      <c r="E73" s="360">
        <f t="shared" ca="1" si="38"/>
        <v>72.652823788551203</v>
      </c>
      <c r="F73" s="357">
        <f t="shared" ca="1" si="39"/>
        <v>74.372436717364408</v>
      </c>
      <c r="G73" s="359">
        <f t="shared" ca="1" si="40"/>
        <v>9.6268053544657892</v>
      </c>
      <c r="H73" s="360">
        <f t="shared" ca="1" si="41"/>
        <v>49.828163391166491</v>
      </c>
      <c r="I73" s="357">
        <f t="shared" ca="1" si="42"/>
        <v>50.749593577383024</v>
      </c>
      <c r="J73" s="359">
        <f t="shared" ca="1" si="43"/>
        <v>3.0947279985519311</v>
      </c>
      <c r="K73" s="360">
        <f t="shared" ca="1" si="44"/>
        <v>16.816667424756393</v>
      </c>
      <c r="L73" s="357">
        <f t="shared" ca="1" si="29"/>
        <v>17.099053911251467</v>
      </c>
      <c r="M73" s="359">
        <f t="shared" ca="1" si="45"/>
        <v>1.3799476154239185</v>
      </c>
      <c r="N73" s="357">
        <f t="shared" ca="1" si="46"/>
        <v>79.065174312932555</v>
      </c>
      <c r="O73" s="343"/>
      <c r="P73" s="363">
        <f t="shared" ca="1" si="47"/>
        <v>5</v>
      </c>
      <c r="Q73" s="357">
        <f t="shared" ca="1" si="48"/>
        <v>1027.8333333333333</v>
      </c>
      <c r="R73" s="359">
        <f t="shared" ca="1" si="49"/>
        <v>0.51487487547456068</v>
      </c>
      <c r="S73" s="360">
        <f t="shared" ca="1" si="50"/>
        <v>12.155606928421827</v>
      </c>
      <c r="T73" s="357">
        <f t="shared" ca="1" si="30"/>
        <v>119.24650396781813</v>
      </c>
      <c r="U73" s="364">
        <f t="shared" ca="1" si="31"/>
        <v>0</v>
      </c>
      <c r="V73" s="359">
        <f t="shared" ca="1" si="32"/>
        <v>1.2229416889370976</v>
      </c>
      <c r="W73" s="357">
        <f t="shared" ca="1" si="33"/>
        <v>7.1923535871191495</v>
      </c>
      <c r="X73" s="343"/>
      <c r="Y73" s="367" t="str">
        <f t="shared" ca="1" si="51"/>
        <v/>
      </c>
      <c r="Z73" s="368" t="str">
        <f t="shared" ca="1" si="52"/>
        <v/>
      </c>
      <c r="AA73" s="369" t="str">
        <f t="shared" ca="1" si="53"/>
        <v/>
      </c>
      <c r="AB73" s="344"/>
      <c r="AC73" s="363" t="e">
        <f t="shared" ca="1" si="54"/>
        <v>#N/A</v>
      </c>
      <c r="AD73" s="376" t="e">
        <f t="shared" ca="1" si="55"/>
        <v>#N/A</v>
      </c>
      <c r="AE73" s="377">
        <f t="shared" ca="1" si="34"/>
        <v>16.816667424756393</v>
      </c>
      <c r="AF73" s="344"/>
      <c r="AG73" s="359">
        <f t="shared" ca="1" si="56"/>
        <v>74.349240563910712</v>
      </c>
      <c r="AH73" s="357">
        <f t="shared" ca="1" si="57"/>
        <v>83.981806636971967</v>
      </c>
    </row>
    <row r="74" spans="1:34" x14ac:dyDescent="0.25">
      <c r="A74" s="402">
        <f t="shared" ca="1" si="35"/>
        <v>0.01</v>
      </c>
      <c r="B74" s="357">
        <f t="shared" ca="1" si="36"/>
        <v>0.7000000000000004</v>
      </c>
      <c r="C74" s="342"/>
      <c r="D74" s="359">
        <f t="shared" ca="1" si="37"/>
        <v>15.928983006575516</v>
      </c>
      <c r="E74" s="360">
        <f t="shared" ca="1" si="38"/>
        <v>72.638116346152472</v>
      </c>
      <c r="F74" s="357">
        <f t="shared" ca="1" si="39"/>
        <v>74.364161031648536</v>
      </c>
      <c r="G74" s="359">
        <f t="shared" ca="1" si="40"/>
        <v>9.7860951845315451</v>
      </c>
      <c r="H74" s="360">
        <f t="shared" ca="1" si="41"/>
        <v>50.554544554628016</v>
      </c>
      <c r="I74" s="357">
        <f t="shared" ca="1" si="42"/>
        <v>51.493005681224133</v>
      </c>
      <c r="J74" s="359">
        <f t="shared" ca="1" si="43"/>
        <v>3.1917925012469177</v>
      </c>
      <c r="K74" s="360">
        <f t="shared" ca="1" si="44"/>
        <v>17.318580964485363</v>
      </c>
      <c r="L74" s="357">
        <f t="shared" ca="1" si="29"/>
        <v>17.610246619353486</v>
      </c>
      <c r="M74" s="359">
        <f t="shared" ca="1" si="45"/>
        <v>1.3795862301958242</v>
      </c>
      <c r="N74" s="357">
        <f t="shared" ca="1" si="46"/>
        <v>79.044468464584369</v>
      </c>
      <c r="O74" s="343"/>
      <c r="P74" s="363">
        <f t="shared" ca="1" si="47"/>
        <v>5</v>
      </c>
      <c r="Q74" s="357">
        <f t="shared" ca="1" si="48"/>
        <v>1027.5</v>
      </c>
      <c r="R74" s="359">
        <f t="shared" ca="1" si="49"/>
        <v>0.51470789805426742</v>
      </c>
      <c r="S74" s="360">
        <f t="shared" ca="1" si="50"/>
        <v>12.150459849441285</v>
      </c>
      <c r="T74" s="357">
        <f t="shared" ca="1" si="30"/>
        <v>119.19601112301901</v>
      </c>
      <c r="U74" s="364">
        <f t="shared" ca="1" si="31"/>
        <v>0</v>
      </c>
      <c r="V74" s="359">
        <f t="shared" ca="1" si="32"/>
        <v>1.2228803093335718</v>
      </c>
      <c r="W74" s="357">
        <f t="shared" ca="1" si="33"/>
        <v>7.4042415782887971</v>
      </c>
      <c r="X74" s="343"/>
      <c r="Y74" s="367" t="str">
        <f t="shared" ca="1" si="51"/>
        <v/>
      </c>
      <c r="Z74" s="368" t="str">
        <f t="shared" ca="1" si="52"/>
        <v/>
      </c>
      <c r="AA74" s="369" t="str">
        <f t="shared" ca="1" si="53"/>
        <v/>
      </c>
      <c r="AB74" s="344"/>
      <c r="AC74" s="363" t="e">
        <f t="shared" ca="1" si="54"/>
        <v>#N/A</v>
      </c>
      <c r="AD74" s="376" t="e">
        <f t="shared" ca="1" si="55"/>
        <v>#N/A</v>
      </c>
      <c r="AE74" s="377">
        <f t="shared" ca="1" si="34"/>
        <v>17.318580964485363</v>
      </c>
      <c r="AF74" s="344"/>
      <c r="AG74" s="359">
        <f t="shared" ca="1" si="56"/>
        <v>74.340874136633659</v>
      </c>
      <c r="AH74" s="357">
        <f t="shared" ca="1" si="57"/>
        <v>83.972759801333595</v>
      </c>
    </row>
    <row r="75" spans="1:34" x14ac:dyDescent="0.25">
      <c r="A75" s="402">
        <f t="shared" ca="1" si="35"/>
        <v>0.01</v>
      </c>
      <c r="B75" s="357">
        <f t="shared" ca="1" si="36"/>
        <v>0.71000000000000041</v>
      </c>
      <c r="C75" s="342"/>
      <c r="D75" s="359">
        <f t="shared" ca="1" si="37"/>
        <v>15.957006997197455</v>
      </c>
      <c r="E75" s="360">
        <f t="shared" ca="1" si="38"/>
        <v>72.623208137342033</v>
      </c>
      <c r="F75" s="357">
        <f t="shared" ca="1" si="39"/>
        <v>74.35560794229518</v>
      </c>
      <c r="G75" s="359">
        <f t="shared" ca="1" si="40"/>
        <v>9.9456652545035205</v>
      </c>
      <c r="H75" s="360">
        <f t="shared" ca="1" si="41"/>
        <v>51.280776636001434</v>
      </c>
      <c r="I75" s="357">
        <f t="shared" ca="1" si="42"/>
        <v>52.236331319744394</v>
      </c>
      <c r="J75" s="359">
        <f t="shared" ca="1" si="43"/>
        <v>3.2904513034420932</v>
      </c>
      <c r="K75" s="360">
        <f t="shared" ca="1" si="44"/>
        <v>17.827757570438511</v>
      </c>
      <c r="L75" s="357">
        <f t="shared" ca="1" si="29"/>
        <v>18.128872269687694</v>
      </c>
      <c r="M75" s="359">
        <f t="shared" ca="1" si="45"/>
        <v>1.3792293211610742</v>
      </c>
      <c r="N75" s="357">
        <f t="shared" ca="1" si="46"/>
        <v>79.024019083223109</v>
      </c>
      <c r="O75" s="343"/>
      <c r="P75" s="363">
        <f t="shared" ca="1" si="47"/>
        <v>5</v>
      </c>
      <c r="Q75" s="357">
        <f t="shared" ca="1" si="48"/>
        <v>1027.1666666666667</v>
      </c>
      <c r="R75" s="359">
        <f t="shared" ca="1" si="49"/>
        <v>0.51454092063397405</v>
      </c>
      <c r="S75" s="360">
        <f t="shared" ca="1" si="50"/>
        <v>12.145314440234944</v>
      </c>
      <c r="T75" s="357">
        <f t="shared" ca="1" si="30"/>
        <v>119.1455346587048</v>
      </c>
      <c r="U75" s="364">
        <f t="shared" ca="1" si="31"/>
        <v>0</v>
      </c>
      <c r="V75" s="359">
        <f t="shared" ca="1" si="32"/>
        <v>1.2228180446661574</v>
      </c>
      <c r="W75" s="357">
        <f t="shared" ca="1" si="33"/>
        <v>7.6191639197785674</v>
      </c>
      <c r="X75" s="343"/>
      <c r="Y75" s="367" t="str">
        <f t="shared" ca="1" si="51"/>
        <v/>
      </c>
      <c r="Z75" s="368" t="str">
        <f t="shared" ca="1" si="52"/>
        <v/>
      </c>
      <c r="AA75" s="369" t="str">
        <f t="shared" ca="1" si="53"/>
        <v/>
      </c>
      <c r="AB75" s="344"/>
      <c r="AC75" s="363" t="e">
        <f t="shared" ca="1" si="54"/>
        <v>#N/A</v>
      </c>
      <c r="AD75" s="376" t="e">
        <f t="shared" ca="1" si="55"/>
        <v>#N/A</v>
      </c>
      <c r="AE75" s="377">
        <f t="shared" ca="1" si="34"/>
        <v>17.827757570438511</v>
      </c>
      <c r="AF75" s="344"/>
      <c r="AG75" s="359">
        <f t="shared" ca="1" si="56"/>
        <v>74.332231148234257</v>
      </c>
      <c r="AH75" s="357">
        <f t="shared" ca="1" si="57"/>
        <v>83.963443689042208</v>
      </c>
    </row>
    <row r="76" spans="1:34" x14ac:dyDescent="0.25">
      <c r="A76" s="402">
        <f t="shared" ca="1" si="35"/>
        <v>0.01</v>
      </c>
      <c r="B76" s="357">
        <f t="shared" ca="1" si="36"/>
        <v>0.72000000000000042</v>
      </c>
      <c r="C76" s="342"/>
      <c r="D76" s="359">
        <f t="shared" ca="1" si="37"/>
        <v>15.983280831110751</v>
      </c>
      <c r="E76" s="360">
        <f t="shared" ca="1" si="38"/>
        <v>72.601285040941136</v>
      </c>
      <c r="F76" s="357">
        <f t="shared" ca="1" si="39"/>
        <v>74.339840299277853</v>
      </c>
      <c r="G76" s="359">
        <f t="shared" ca="1" si="40"/>
        <v>10.105498062814627</v>
      </c>
      <c r="H76" s="360">
        <f t="shared" ca="1" si="41"/>
        <v>52.006789486410845</v>
      </c>
      <c r="I76" s="357">
        <f t="shared" ca="1" si="42"/>
        <v>52.979498334557718</v>
      </c>
      <c r="J76" s="359">
        <f t="shared" ca="1" si="43"/>
        <v>3.3907071200286838</v>
      </c>
      <c r="K76" s="360">
        <f t="shared" ca="1" si="44"/>
        <v>18.344195401050573</v>
      </c>
      <c r="L76" s="357">
        <f t="shared" ca="1" si="29"/>
        <v>18.654929634971509</v>
      </c>
      <c r="M76" s="359">
        <f t="shared" ca="1" si="45"/>
        <v>1.3788767698412618</v>
      </c>
      <c r="N76" s="357">
        <f t="shared" ca="1" si="46"/>
        <v>79.0038193805361</v>
      </c>
      <c r="O76" s="343"/>
      <c r="P76" s="363">
        <f t="shared" ca="1" si="47"/>
        <v>6</v>
      </c>
      <c r="Q76" s="357">
        <f t="shared" ca="1" si="48"/>
        <v>1026.7491228070176</v>
      </c>
      <c r="R76" s="359">
        <f t="shared" ca="1" si="49"/>
        <v>0.51433175944434339</v>
      </c>
      <c r="S76" s="360">
        <f t="shared" ca="1" si="50"/>
        <v>12.140171122640501</v>
      </c>
      <c r="T76" s="357">
        <f t="shared" ca="1" si="30"/>
        <v>119.09507871310332</v>
      </c>
      <c r="U76" s="364">
        <f t="shared" ca="1" si="31"/>
        <v>0</v>
      </c>
      <c r="V76" s="359">
        <f t="shared" ca="1" si="32"/>
        <v>1.2227548952953411</v>
      </c>
      <c r="W76" s="357">
        <f t="shared" ca="1" si="33"/>
        <v>7.8370972536876602</v>
      </c>
      <c r="X76" s="343"/>
      <c r="Y76" s="367" t="str">
        <f t="shared" ca="1" si="51"/>
        <v/>
      </c>
      <c r="Z76" s="368" t="str">
        <f t="shared" ca="1" si="52"/>
        <v/>
      </c>
      <c r="AA76" s="369" t="str">
        <f t="shared" ca="1" si="53"/>
        <v/>
      </c>
      <c r="AB76" s="344"/>
      <c r="AC76" s="363" t="e">
        <f t="shared" ca="1" si="54"/>
        <v>#N/A</v>
      </c>
      <c r="AD76" s="376" t="e">
        <f t="shared" ca="1" si="55"/>
        <v>#N/A</v>
      </c>
      <c r="AE76" s="377">
        <f t="shared" ca="1" si="34"/>
        <v>18.344195401050573</v>
      </c>
      <c r="AF76" s="344"/>
      <c r="AG76" s="359">
        <f t="shared" ca="1" si="56"/>
        <v>74.316372233797992</v>
      </c>
      <c r="AH76" s="357">
        <f t="shared" ca="1" si="57"/>
        <v>83.9469187536112</v>
      </c>
    </row>
    <row r="77" spans="1:34" x14ac:dyDescent="0.25">
      <c r="A77" s="402">
        <f t="shared" ca="1" si="35"/>
        <v>0.01</v>
      </c>
      <c r="B77" s="357">
        <f t="shared" ca="1" si="36"/>
        <v>0.73000000000000043</v>
      </c>
      <c r="C77" s="342"/>
      <c r="D77" s="359">
        <f t="shared" ca="1" si="37"/>
        <v>16.007805046867976</v>
      </c>
      <c r="E77" s="360">
        <f t="shared" ca="1" si="38"/>
        <v>72.572337024573415</v>
      </c>
      <c r="F77" s="357">
        <f t="shared" ca="1" si="39"/>
        <v>74.316848181464209</v>
      </c>
      <c r="G77" s="359">
        <f t="shared" ca="1" si="40"/>
        <v>10.265576113283307</v>
      </c>
      <c r="H77" s="360">
        <f t="shared" ca="1" si="41"/>
        <v>52.732512856656577</v>
      </c>
      <c r="I77" s="357">
        <f t="shared" ca="1" si="42"/>
        <v>53.722434467502161</v>
      </c>
      <c r="J77" s="359">
        <f t="shared" ca="1" si="43"/>
        <v>3.4925624909091733</v>
      </c>
      <c r="K77" s="360">
        <f t="shared" ca="1" si="44"/>
        <v>18.867891912765909</v>
      </c>
      <c r="L77" s="357">
        <f t="shared" ca="1" si="29"/>
        <v>19.188416765974281</v>
      </c>
      <c r="M77" s="359">
        <f t="shared" ca="1" si="45"/>
        <v>1.3785284620310305</v>
      </c>
      <c r="N77" s="357">
        <f t="shared" ca="1" si="46"/>
        <v>78.9838628130384</v>
      </c>
      <c r="O77" s="343"/>
      <c r="P77" s="363">
        <f t="shared" ca="1" si="47"/>
        <v>6</v>
      </c>
      <c r="Q77" s="357">
        <f t="shared" ca="1" si="48"/>
        <v>1026.2473684210527</v>
      </c>
      <c r="R77" s="359">
        <f t="shared" ca="1" si="49"/>
        <v>0.51408041448537556</v>
      </c>
      <c r="S77" s="360">
        <f t="shared" ca="1" si="50"/>
        <v>12.135030318495646</v>
      </c>
      <c r="T77" s="357">
        <f t="shared" ca="1" si="30"/>
        <v>119.0446474244423</v>
      </c>
      <c r="U77" s="364">
        <f t="shared" ca="1" si="31"/>
        <v>0</v>
      </c>
      <c r="V77" s="359">
        <f t="shared" ca="1" si="32"/>
        <v>1.2226908616693077</v>
      </c>
      <c r="W77" s="357">
        <f t="shared" ca="1" si="33"/>
        <v>8.0580169869610252</v>
      </c>
      <c r="X77" s="343"/>
      <c r="Y77" s="367" t="str">
        <f t="shared" ca="1" si="51"/>
        <v/>
      </c>
      <c r="Z77" s="368" t="str">
        <f t="shared" ca="1" si="52"/>
        <v/>
      </c>
      <c r="AA77" s="369" t="str">
        <f t="shared" ca="1" si="53"/>
        <v/>
      </c>
      <c r="AB77" s="344"/>
      <c r="AC77" s="363" t="e">
        <f t="shared" ca="1" si="54"/>
        <v>#N/A</v>
      </c>
      <c r="AD77" s="376" t="e">
        <f t="shared" ca="1" si="55"/>
        <v>#N/A</v>
      </c>
      <c r="AE77" s="377">
        <f t="shared" ca="1" si="34"/>
        <v>18.867891912765909</v>
      </c>
      <c r="AF77" s="344"/>
      <c r="AG77" s="359">
        <f t="shared" ca="1" si="56"/>
        <v>74.293287418644383</v>
      </c>
      <c r="AH77" s="357">
        <f t="shared" ca="1" si="57"/>
        <v>83.923174844907606</v>
      </c>
    </row>
    <row r="78" spans="1:34" x14ac:dyDescent="0.25">
      <c r="A78" s="402">
        <f t="shared" ca="1" si="35"/>
        <v>0.01</v>
      </c>
      <c r="B78" s="357">
        <f t="shared" ca="1" si="36"/>
        <v>0.74000000000000044</v>
      </c>
      <c r="C78" s="342"/>
      <c r="D78" s="359">
        <f t="shared" ca="1" si="37"/>
        <v>16.031907157624357</v>
      </c>
      <c r="E78" s="360">
        <f t="shared" ca="1" si="38"/>
        <v>72.543171509997279</v>
      </c>
      <c r="F78" s="357">
        <f t="shared" ca="1" si="39"/>
        <v>74.293564861565017</v>
      </c>
      <c r="G78" s="359">
        <f t="shared" ca="1" si="40"/>
        <v>10.42589518485955</v>
      </c>
      <c r="H78" s="360">
        <f t="shared" ca="1" si="41"/>
        <v>53.457944571756549</v>
      </c>
      <c r="I78" s="357">
        <f t="shared" ca="1" si="42"/>
        <v>54.465136814687916</v>
      </c>
      <c r="J78" s="359">
        <f t="shared" ca="1" si="43"/>
        <v>3.5960198473998877</v>
      </c>
      <c r="K78" s="360">
        <f t="shared" ca="1" si="44"/>
        <v>19.398844199907973</v>
      </c>
      <c r="L78" s="357">
        <f t="shared" ca="1" si="29"/>
        <v>19.729331337761987</v>
      </c>
      <c r="M78" s="359">
        <f t="shared" ca="1" si="45"/>
        <v>1.3781842880307065</v>
      </c>
      <c r="N78" s="357">
        <f t="shared" ca="1" si="46"/>
        <v>78.964143095401695</v>
      </c>
      <c r="O78" s="343"/>
      <c r="P78" s="363">
        <f t="shared" ca="1" si="47"/>
        <v>6</v>
      </c>
      <c r="Q78" s="357">
        <f t="shared" ca="1" si="48"/>
        <v>1025.7456140350878</v>
      </c>
      <c r="R78" s="359">
        <f t="shared" ca="1" si="49"/>
        <v>0.51382906952640761</v>
      </c>
      <c r="S78" s="360">
        <f t="shared" ca="1" si="50"/>
        <v>12.129892027800382</v>
      </c>
      <c r="T78" s="357">
        <f t="shared" ca="1" si="30"/>
        <v>118.99424079272175</v>
      </c>
      <c r="U78" s="364">
        <f t="shared" ca="1" si="31"/>
        <v>0</v>
      </c>
      <c r="V78" s="359">
        <f t="shared" ca="1" si="32"/>
        <v>1.222625944282361</v>
      </c>
      <c r="W78" s="357">
        <f t="shared" ca="1" si="33"/>
        <v>8.2819184126242789</v>
      </c>
      <c r="X78" s="343"/>
      <c r="Y78" s="367" t="str">
        <f t="shared" ca="1" si="51"/>
        <v/>
      </c>
      <c r="Z78" s="368" t="str">
        <f t="shared" ca="1" si="52"/>
        <v/>
      </c>
      <c r="AA78" s="369" t="str">
        <f t="shared" ca="1" si="53"/>
        <v/>
      </c>
      <c r="AB78" s="344"/>
      <c r="AC78" s="363" t="e">
        <f t="shared" ca="1" si="54"/>
        <v>#N/A</v>
      </c>
      <c r="AD78" s="376" t="e">
        <f t="shared" ca="1" si="55"/>
        <v>#N/A</v>
      </c>
      <c r="AE78" s="377">
        <f t="shared" ca="1" si="34"/>
        <v>19.398844199907973</v>
      </c>
      <c r="AF78" s="344"/>
      <c r="AG78" s="359">
        <f t="shared" ca="1" si="56"/>
        <v>74.269912133167949</v>
      </c>
      <c r="AH78" s="357">
        <f t="shared" ca="1" si="57"/>
        <v>83.89914722370969</v>
      </c>
    </row>
    <row r="79" spans="1:34" x14ac:dyDescent="0.25">
      <c r="A79" s="402">
        <f t="shared" ca="1" si="35"/>
        <v>0.01</v>
      </c>
      <c r="B79" s="357">
        <f t="shared" ca="1" si="36"/>
        <v>0.75000000000000044</v>
      </c>
      <c r="C79" s="342"/>
      <c r="D79" s="359">
        <f t="shared" ca="1" si="37"/>
        <v>16.055596280875008</v>
      </c>
      <c r="E79" s="360">
        <f t="shared" ca="1" si="38"/>
        <v>72.513787150280933</v>
      </c>
      <c r="F79" s="357">
        <f t="shared" ca="1" si="39"/>
        <v>74.26999056692209</v>
      </c>
      <c r="G79" s="359">
        <f t="shared" ca="1" si="40"/>
        <v>10.586451147668301</v>
      </c>
      <c r="H79" s="360">
        <f t="shared" ca="1" si="41"/>
        <v>54.183082443259359</v>
      </c>
      <c r="I79" s="357">
        <f t="shared" ca="1" si="42"/>
        <v>55.20760247425175</v>
      </c>
      <c r="J79" s="359">
        <f t="shared" ca="1" si="43"/>
        <v>3.7010815790625271</v>
      </c>
      <c r="K79" s="360">
        <f t="shared" ca="1" si="44"/>
        <v>19.937049334983051</v>
      </c>
      <c r="L79" s="357">
        <f t="shared" ca="1" si="29"/>
        <v>20.277670996453811</v>
      </c>
      <c r="M79" s="359">
        <f t="shared" ca="1" si="45"/>
        <v>1.3778441424098351</v>
      </c>
      <c r="N79" s="357">
        <f t="shared" ca="1" si="46"/>
        <v>78.944654186905908</v>
      </c>
      <c r="O79" s="343"/>
      <c r="P79" s="363">
        <f t="shared" ca="1" si="47"/>
        <v>6</v>
      </c>
      <c r="Q79" s="357">
        <f t="shared" ca="1" si="48"/>
        <v>1025.2438596491227</v>
      </c>
      <c r="R79" s="359">
        <f t="shared" ca="1" si="49"/>
        <v>0.51357772456743966</v>
      </c>
      <c r="S79" s="360">
        <f t="shared" ca="1" si="50"/>
        <v>12.124756250554707</v>
      </c>
      <c r="T79" s="357">
        <f t="shared" ca="1" si="30"/>
        <v>118.94385881794169</v>
      </c>
      <c r="U79" s="364">
        <f t="shared" ca="1" si="31"/>
        <v>0</v>
      </c>
      <c r="V79" s="359">
        <f t="shared" ca="1" si="32"/>
        <v>1.2225601436333025</v>
      </c>
      <c r="W79" s="357">
        <f t="shared" ca="1" si="33"/>
        <v>8.5087967651939085</v>
      </c>
      <c r="X79" s="343"/>
      <c r="Y79" s="367" t="str">
        <f t="shared" ca="1" si="51"/>
        <v/>
      </c>
      <c r="Z79" s="368" t="str">
        <f t="shared" ca="1" si="52"/>
        <v/>
      </c>
      <c r="AA79" s="369" t="str">
        <f t="shared" ca="1" si="53"/>
        <v/>
      </c>
      <c r="AB79" s="344"/>
      <c r="AC79" s="363" t="e">
        <f t="shared" ca="1" si="54"/>
        <v>#N/A</v>
      </c>
      <c r="AD79" s="376" t="e">
        <f t="shared" ca="1" si="55"/>
        <v>#N/A</v>
      </c>
      <c r="AE79" s="377">
        <f t="shared" ca="1" si="34"/>
        <v>19.937049334983051</v>
      </c>
      <c r="AF79" s="344"/>
      <c r="AG79" s="359">
        <f t="shared" ca="1" si="56"/>
        <v>74.246246583046698</v>
      </c>
      <c r="AH79" s="357">
        <f t="shared" ca="1" si="57"/>
        <v>83.874835932472664</v>
      </c>
    </row>
    <row r="80" spans="1:34" x14ac:dyDescent="0.25">
      <c r="A80" s="402">
        <f t="shared" ca="1" si="35"/>
        <v>0.01</v>
      </c>
      <c r="B80" s="357">
        <f t="shared" ca="1" si="36"/>
        <v>0.76000000000000045</v>
      </c>
      <c r="C80" s="342"/>
      <c r="D80" s="359">
        <f t="shared" ca="1" si="37"/>
        <v>16.078881177295223</v>
      </c>
      <c r="E80" s="360">
        <f t="shared" ca="1" si="38"/>
        <v>72.48418265597374</v>
      </c>
      <c r="F80" s="357">
        <f t="shared" ca="1" si="39"/>
        <v>74.246125523276589</v>
      </c>
      <c r="G80" s="359">
        <f t="shared" ca="1" si="40"/>
        <v>10.747239959441254</v>
      </c>
      <c r="H80" s="360">
        <f t="shared" ca="1" si="41"/>
        <v>54.907924269819098</v>
      </c>
      <c r="I80" s="357">
        <f t="shared" ca="1" si="42"/>
        <v>55.949828546350346</v>
      </c>
      <c r="J80" s="359">
        <f t="shared" ca="1" si="43"/>
        <v>3.807750034598075</v>
      </c>
      <c r="K80" s="360">
        <f t="shared" ca="1" si="44"/>
        <v>20.482504368548444</v>
      </c>
      <c r="L80" s="357">
        <f t="shared" ca="1" si="29"/>
        <v>20.83343335923265</v>
      </c>
      <c r="M80" s="359">
        <f t="shared" ca="1" si="45"/>
        <v>1.377507923786123</v>
      </c>
      <c r="N80" s="357">
        <f t="shared" ca="1" si="46"/>
        <v>78.925390278773506</v>
      </c>
      <c r="O80" s="343"/>
      <c r="P80" s="363">
        <f t="shared" ca="1" si="47"/>
        <v>6</v>
      </c>
      <c r="Q80" s="357">
        <f t="shared" ca="1" si="48"/>
        <v>1024.7421052631578</v>
      </c>
      <c r="R80" s="359">
        <f t="shared" ca="1" si="49"/>
        <v>0.51332637960847183</v>
      </c>
      <c r="S80" s="360">
        <f t="shared" ca="1" si="50"/>
        <v>12.119622986758623</v>
      </c>
      <c r="T80" s="357">
        <f t="shared" ca="1" si="30"/>
        <v>118.89350150010209</v>
      </c>
      <c r="U80" s="364">
        <f t="shared" ca="1" si="31"/>
        <v>0</v>
      </c>
      <c r="V80" s="359">
        <f t="shared" ca="1" si="32"/>
        <v>1.2224934602254469</v>
      </c>
      <c r="W80" s="357">
        <f t="shared" ca="1" si="33"/>
        <v>8.7386472208117016</v>
      </c>
      <c r="X80" s="343"/>
      <c r="Y80" s="367" t="str">
        <f t="shared" ca="1" si="51"/>
        <v/>
      </c>
      <c r="Z80" s="368" t="str">
        <f t="shared" ca="1" si="52"/>
        <v/>
      </c>
      <c r="AA80" s="369" t="str">
        <f t="shared" ca="1" si="53"/>
        <v/>
      </c>
      <c r="AB80" s="344"/>
      <c r="AC80" s="363" t="e">
        <f t="shared" ca="1" si="54"/>
        <v>#N/A</v>
      </c>
      <c r="AD80" s="376" t="e">
        <f t="shared" ca="1" si="55"/>
        <v>#N/A</v>
      </c>
      <c r="AE80" s="377">
        <f t="shared" ca="1" si="34"/>
        <v>20.482504368548444</v>
      </c>
      <c r="AF80" s="344"/>
      <c r="AG80" s="359">
        <f t="shared" ca="1" si="56"/>
        <v>74.222290973142492</v>
      </c>
      <c r="AH80" s="357">
        <f t="shared" ca="1" si="57"/>
        <v>83.850241018904342</v>
      </c>
    </row>
    <row r="81" spans="1:34" x14ac:dyDescent="0.25">
      <c r="A81" s="402">
        <f t="shared" ca="1" si="35"/>
        <v>0.01</v>
      </c>
      <c r="B81" s="357">
        <f t="shared" ca="1" si="36"/>
        <v>0.77000000000000046</v>
      </c>
      <c r="C81" s="342"/>
      <c r="D81" s="359">
        <f t="shared" ca="1" si="37"/>
        <v>16.101770269319967</v>
      </c>
      <c r="E81" s="360">
        <f t="shared" ca="1" si="38"/>
        <v>72.454356792477412</v>
      </c>
      <c r="F81" s="357">
        <f t="shared" ca="1" si="39"/>
        <v>74.221969955112172</v>
      </c>
      <c r="G81" s="359">
        <f t="shared" ca="1" si="40"/>
        <v>10.908257662134453</v>
      </c>
      <c r="H81" s="360">
        <f t="shared" ca="1" si="41"/>
        <v>55.632467837743874</v>
      </c>
      <c r="I81" s="357">
        <f t="shared" ca="1" si="42"/>
        <v>56.691812133156596</v>
      </c>
      <c r="J81" s="359">
        <f t="shared" ca="1" si="43"/>
        <v>3.9160275227059538</v>
      </c>
      <c r="K81" s="360">
        <f t="shared" ca="1" si="44"/>
        <v>21.035206329086257</v>
      </c>
      <c r="L81" s="357">
        <f t="shared" ca="1" si="29"/>
        <v>21.396616014356596</v>
      </c>
      <c r="M81" s="359">
        <f t="shared" ca="1" si="45"/>
        <v>1.3771755346185941</v>
      </c>
      <c r="N81" s="357">
        <f t="shared" ca="1" si="46"/>
        <v>78.90634578231824</v>
      </c>
      <c r="O81" s="343"/>
      <c r="P81" s="363">
        <f t="shared" ca="1" si="47"/>
        <v>6</v>
      </c>
      <c r="Q81" s="357">
        <f t="shared" ca="1" si="48"/>
        <v>1024.2403508771929</v>
      </c>
      <c r="R81" s="359">
        <f t="shared" ca="1" si="49"/>
        <v>0.51307503464950388</v>
      </c>
      <c r="S81" s="360">
        <f t="shared" ca="1" si="50"/>
        <v>12.114492236412127</v>
      </c>
      <c r="T81" s="357">
        <f t="shared" ca="1" si="30"/>
        <v>118.84316883920297</v>
      </c>
      <c r="U81" s="364">
        <f t="shared" ca="1" si="31"/>
        <v>0</v>
      </c>
      <c r="V81" s="359">
        <f t="shared" ca="1" si="32"/>
        <v>1.2224258945666324</v>
      </c>
      <c r="W81" s="357">
        <f t="shared" ca="1" si="33"/>
        <v>8.9714648973809616</v>
      </c>
      <c r="X81" s="343"/>
      <c r="Y81" s="367" t="str">
        <f t="shared" ca="1" si="51"/>
        <v/>
      </c>
      <c r="Z81" s="368" t="str">
        <f t="shared" ca="1" si="52"/>
        <v/>
      </c>
      <c r="AA81" s="369" t="str">
        <f t="shared" ca="1" si="53"/>
        <v/>
      </c>
      <c r="AB81" s="344"/>
      <c r="AC81" s="363" t="e">
        <f t="shared" ca="1" si="54"/>
        <v>#N/A</v>
      </c>
      <c r="AD81" s="376" t="e">
        <f t="shared" ca="1" si="55"/>
        <v>#N/A</v>
      </c>
      <c r="AE81" s="377">
        <f t="shared" ca="1" si="34"/>
        <v>21.035206329086257</v>
      </c>
      <c r="AF81" s="344"/>
      <c r="AG81" s="359">
        <f t="shared" ca="1" si="56"/>
        <v>74.198045507804849</v>
      </c>
      <c r="AH81" s="357">
        <f t="shared" ca="1" si="57"/>
        <v>83.825362535965098</v>
      </c>
    </row>
    <row r="82" spans="1:34" x14ac:dyDescent="0.25">
      <c r="A82" s="402">
        <f t="shared" ca="1" si="35"/>
        <v>0.01</v>
      </c>
      <c r="B82" s="357">
        <f t="shared" ca="1" si="36"/>
        <v>0.78000000000000047</v>
      </c>
      <c r="C82" s="342"/>
      <c r="D82" s="359">
        <f t="shared" ca="1" si="37"/>
        <v>16.124271658527647</v>
      </c>
      <c r="E82" s="360">
        <f t="shared" ca="1" si="38"/>
        <v>72.424308377581809</v>
      </c>
      <c r="F82" s="357">
        <f t="shared" ca="1" si="39"/>
        <v>74.197524085976511</v>
      </c>
      <c r="G82" s="359">
        <f t="shared" ca="1" si="40"/>
        <v>11.069500378719729</v>
      </c>
      <c r="H82" s="360">
        <f t="shared" ca="1" si="41"/>
        <v>56.356710921519692</v>
      </c>
      <c r="I82" s="357">
        <f t="shared" ca="1" si="42"/>
        <v>57.433550338858673</v>
      </c>
      <c r="J82" s="359">
        <f t="shared" ca="1" si="43"/>
        <v>4.0259163129102244</v>
      </c>
      <c r="K82" s="360">
        <f t="shared" ca="1" si="44"/>
        <v>21.595152222882575</v>
      </c>
      <c r="L82" s="357">
        <f t="shared" ca="1" si="29"/>
        <v>21.967216521171427</v>
      </c>
      <c r="M82" s="359">
        <f t="shared" ca="1" si="45"/>
        <v>1.3768468810138723</v>
      </c>
      <c r="N82" s="357">
        <f t="shared" ca="1" si="46"/>
        <v>78.887515317845924</v>
      </c>
      <c r="O82" s="343"/>
      <c r="P82" s="363">
        <f t="shared" ca="1" si="47"/>
        <v>6</v>
      </c>
      <c r="Q82" s="357">
        <f t="shared" ca="1" si="48"/>
        <v>1023.738596491228</v>
      </c>
      <c r="R82" s="359">
        <f t="shared" ca="1" si="49"/>
        <v>0.51282368969053604</v>
      </c>
      <c r="S82" s="360">
        <f t="shared" ca="1" si="50"/>
        <v>12.109363999515223</v>
      </c>
      <c r="T82" s="357">
        <f t="shared" ca="1" si="30"/>
        <v>118.79286083524434</v>
      </c>
      <c r="U82" s="364">
        <f t="shared" ca="1" si="31"/>
        <v>0</v>
      </c>
      <c r="V82" s="359">
        <f t="shared" ca="1" si="32"/>
        <v>1.2223574471692289</v>
      </c>
      <c r="W82" s="357">
        <f t="shared" ca="1" si="33"/>
        <v>9.2072448547045536</v>
      </c>
      <c r="X82" s="343"/>
      <c r="Y82" s="367" t="str">
        <f t="shared" ca="1" si="51"/>
        <v/>
      </c>
      <c r="Z82" s="368" t="str">
        <f t="shared" ca="1" si="52"/>
        <v/>
      </c>
      <c r="AA82" s="369" t="str">
        <f t="shared" ca="1" si="53"/>
        <v/>
      </c>
      <c r="AB82" s="344"/>
      <c r="AC82" s="363" t="e">
        <f t="shared" ca="1" si="54"/>
        <v>#N/A</v>
      </c>
      <c r="AD82" s="376" t="e">
        <f t="shared" ca="1" si="55"/>
        <v>#N/A</v>
      </c>
      <c r="AE82" s="377">
        <f t="shared" ca="1" si="34"/>
        <v>21.595152222882575</v>
      </c>
      <c r="AF82" s="344"/>
      <c r="AG82" s="359">
        <f t="shared" ca="1" si="56"/>
        <v>74.173510391155659</v>
      </c>
      <c r="AH82" s="357">
        <f t="shared" ca="1" si="57"/>
        <v>83.800200541867554</v>
      </c>
    </row>
    <row r="83" spans="1:34" x14ac:dyDescent="0.25">
      <c r="A83" s="402">
        <f t="shared" ca="1" si="35"/>
        <v>0.01</v>
      </c>
      <c r="B83" s="357">
        <f t="shared" ca="1" si="36"/>
        <v>0.79000000000000048</v>
      </c>
      <c r="C83" s="342"/>
      <c r="D83" s="359">
        <f t="shared" ca="1" si="37"/>
        <v>16.146393141919692</v>
      </c>
      <c r="E83" s="360">
        <f t="shared" ca="1" si="38"/>
        <v>72.394036279153156</v>
      </c>
      <c r="F83" s="357">
        <f t="shared" ca="1" si="39"/>
        <v>74.172788138782906</v>
      </c>
      <c r="G83" s="359">
        <f t="shared" ca="1" si="40"/>
        <v>11.230964310138926</v>
      </c>
      <c r="H83" s="360">
        <f t="shared" ca="1" si="41"/>
        <v>57.080651284311223</v>
      </c>
      <c r="I83" s="357">
        <f t="shared" ca="1" si="42"/>
        <v>58.17504026966165</v>
      </c>
      <c r="J83" s="359">
        <f t="shared" ca="1" si="43"/>
        <v>4.1374186363545178</v>
      </c>
      <c r="K83" s="360">
        <f t="shared" ca="1" si="44"/>
        <v>22.162339033911731</v>
      </c>
      <c r="L83" s="357">
        <f t="shared" ca="1" si="29"/>
        <v>22.545232410123901</v>
      </c>
      <c r="M83" s="359">
        <f t="shared" ca="1" si="45"/>
        <v>1.3765218725445962</v>
      </c>
      <c r="N83" s="357">
        <f t="shared" ca="1" si="46"/>
        <v>78.868893704250397</v>
      </c>
      <c r="O83" s="343"/>
      <c r="P83" s="363">
        <f t="shared" ca="1" si="47"/>
        <v>6</v>
      </c>
      <c r="Q83" s="357">
        <f t="shared" ca="1" si="48"/>
        <v>1023.2368421052631</v>
      </c>
      <c r="R83" s="359">
        <f t="shared" ca="1" si="49"/>
        <v>0.5125723447315681</v>
      </c>
      <c r="S83" s="360">
        <f t="shared" ca="1" si="50"/>
        <v>12.104238276067907</v>
      </c>
      <c r="T83" s="357">
        <f t="shared" ca="1" si="30"/>
        <v>118.74257748822617</v>
      </c>
      <c r="U83" s="364">
        <f t="shared" ca="1" si="31"/>
        <v>0</v>
      </c>
      <c r="V83" s="359">
        <f t="shared" ca="1" si="32"/>
        <v>1.2222881185501515</v>
      </c>
      <c r="W83" s="357">
        <f t="shared" ca="1" si="33"/>
        <v>9.4459820946248545</v>
      </c>
      <c r="X83" s="343"/>
      <c r="Y83" s="367" t="str">
        <f t="shared" ca="1" si="51"/>
        <v/>
      </c>
      <c r="Z83" s="368" t="str">
        <f t="shared" ca="1" si="52"/>
        <v/>
      </c>
      <c r="AA83" s="369" t="str">
        <f t="shared" ca="1" si="53"/>
        <v/>
      </c>
      <c r="AB83" s="344"/>
      <c r="AC83" s="363" t="e">
        <f t="shared" ca="1" si="54"/>
        <v>#N/A</v>
      </c>
      <c r="AD83" s="376" t="e">
        <f t="shared" ca="1" si="55"/>
        <v>#N/A</v>
      </c>
      <c r="AE83" s="377">
        <f t="shared" ca="1" si="34"/>
        <v>22.162339033911731</v>
      </c>
      <c r="AF83" s="344"/>
      <c r="AG83" s="359">
        <f t="shared" ca="1" si="56"/>
        <v>74.148685827356232</v>
      </c>
      <c r="AH83" s="357">
        <f t="shared" ca="1" si="57"/>
        <v>83.774755100076291</v>
      </c>
    </row>
    <row r="84" spans="1:34" x14ac:dyDescent="0.25">
      <c r="A84" s="402">
        <f t="shared" ca="1" si="35"/>
        <v>0.01</v>
      </c>
      <c r="B84" s="357">
        <f t="shared" ca="1" si="36"/>
        <v>0.80000000000000049</v>
      </c>
      <c r="C84" s="342"/>
      <c r="D84" s="359">
        <f t="shared" ca="1" si="37"/>
        <v>16.168142227179537</v>
      </c>
      <c r="E84" s="360">
        <f t="shared" ca="1" si="38"/>
        <v>72.363539412963007</v>
      </c>
      <c r="F84" s="357">
        <f t="shared" ca="1" si="39"/>
        <v>74.147762336093166</v>
      </c>
      <c r="G84" s="359">
        <f t="shared" ca="1" si="40"/>
        <v>11.392645732410722</v>
      </c>
      <c r="H84" s="360">
        <f t="shared" ca="1" si="41"/>
        <v>57.804286678440853</v>
      </c>
      <c r="I84" s="357">
        <f t="shared" ca="1" si="42"/>
        <v>58.916279033791596</v>
      </c>
      <c r="J84" s="359">
        <f t="shared" ca="1" si="43"/>
        <v>4.2505366865672665</v>
      </c>
      <c r="K84" s="360">
        <f t="shared" ca="1" si="44"/>
        <v>22.736763723725492</v>
      </c>
      <c r="L84" s="357">
        <f t="shared" ca="1" si="29"/>
        <v>23.130661182775857</v>
      </c>
      <c r="M84" s="359">
        <f t="shared" ca="1" si="45"/>
        <v>1.3762004220790673</v>
      </c>
      <c r="N84" s="357">
        <f t="shared" ca="1" si="46"/>
        <v>78.850475949253067</v>
      </c>
      <c r="O84" s="343"/>
      <c r="P84" s="363">
        <f t="shared" ca="1" si="47"/>
        <v>6</v>
      </c>
      <c r="Q84" s="357">
        <f t="shared" ca="1" si="48"/>
        <v>1022.7350877192982</v>
      </c>
      <c r="R84" s="359">
        <f t="shared" ca="1" si="49"/>
        <v>0.51232099977260026</v>
      </c>
      <c r="S84" s="360">
        <f t="shared" ca="1" si="50"/>
        <v>12.099115066070182</v>
      </c>
      <c r="T84" s="357">
        <f t="shared" ca="1" si="30"/>
        <v>118.69231879814849</v>
      </c>
      <c r="U84" s="364">
        <f t="shared" ca="1" si="31"/>
        <v>0</v>
      </c>
      <c r="V84" s="359">
        <f t="shared" ca="1" si="32"/>
        <v>1.2222179092308674</v>
      </c>
      <c r="W84" s="357">
        <f t="shared" ca="1" si="33"/>
        <v>9.6876715611655531</v>
      </c>
      <c r="X84" s="343"/>
      <c r="Y84" s="367" t="str">
        <f t="shared" ca="1" si="51"/>
        <v/>
      </c>
      <c r="Z84" s="368" t="str">
        <f t="shared" ca="1" si="52"/>
        <v/>
      </c>
      <c r="AA84" s="369" t="str">
        <f t="shared" ca="1" si="53"/>
        <v/>
      </c>
      <c r="AB84" s="344"/>
      <c r="AC84" s="363" t="e">
        <f t="shared" ca="1" si="54"/>
        <v>#N/A</v>
      </c>
      <c r="AD84" s="376" t="e">
        <f t="shared" ca="1" si="55"/>
        <v>#N/A</v>
      </c>
      <c r="AE84" s="377">
        <f t="shared" ca="1" si="34"/>
        <v>22.736763723725492</v>
      </c>
      <c r="AF84" s="344"/>
      <c r="AG84" s="359">
        <f t="shared" ca="1" si="56"/>
        <v>74.123572020857594</v>
      </c>
      <c r="AH84" s="357">
        <f t="shared" ca="1" si="57"/>
        <v>83.749026279307216</v>
      </c>
    </row>
    <row r="85" spans="1:34" x14ac:dyDescent="0.25">
      <c r="A85" s="402">
        <f t="shared" ca="1" si="35"/>
        <v>0.01</v>
      </c>
      <c r="B85" s="357">
        <f t="shared" ca="1" si="36"/>
        <v>0.8100000000000005</v>
      </c>
      <c r="C85" s="342"/>
      <c r="D85" s="359">
        <f t="shared" ca="1" si="37"/>
        <v>16.1895261469868</v>
      </c>
      <c r="E85" s="360">
        <f t="shared" ca="1" si="38"/>
        <v>72.332816740647999</v>
      </c>
      <c r="F85" s="357">
        <f t="shared" ca="1" si="39"/>
        <v>74.122446900383267</v>
      </c>
      <c r="G85" s="359">
        <f t="shared" ca="1" si="40"/>
        <v>11.55454099388059</v>
      </c>
      <c r="H85" s="360">
        <f t="shared" ca="1" si="41"/>
        <v>58.527614845847332</v>
      </c>
      <c r="I85" s="357">
        <f t="shared" ca="1" si="42"/>
        <v>59.657263741501893</v>
      </c>
      <c r="J85" s="359">
        <f t="shared" ca="1" si="43"/>
        <v>4.3652726201987226</v>
      </c>
      <c r="K85" s="360">
        <f t="shared" ca="1" si="44"/>
        <v>23.318423231346934</v>
      </c>
      <c r="L85" s="357">
        <f t="shared" ca="1" si="29"/>
        <v>23.723500311819016</v>
      </c>
      <c r="M85" s="359">
        <f t="shared" ca="1" si="45"/>
        <v>1.3758824456212988</v>
      </c>
      <c r="N85" s="357">
        <f t="shared" ca="1" si="46"/>
        <v>78.83225724023842</v>
      </c>
      <c r="O85" s="343"/>
      <c r="P85" s="363">
        <f t="shared" ca="1" si="47"/>
        <v>6</v>
      </c>
      <c r="Q85" s="357">
        <f t="shared" ca="1" si="48"/>
        <v>1022.2333333333333</v>
      </c>
      <c r="R85" s="359">
        <f t="shared" ca="1" si="49"/>
        <v>0.51206965481363242</v>
      </c>
      <c r="S85" s="360">
        <f t="shared" ca="1" si="50"/>
        <v>12.093994369522045</v>
      </c>
      <c r="T85" s="357">
        <f t="shared" ca="1" si="30"/>
        <v>118.64208476501128</v>
      </c>
      <c r="U85" s="364">
        <f t="shared" ca="1" si="31"/>
        <v>0</v>
      </c>
      <c r="V85" s="359">
        <f t="shared" ca="1" si="32"/>
        <v>1.2221468197374059</v>
      </c>
      <c r="W85" s="357">
        <f t="shared" ca="1" si="33"/>
        <v>9.9323081406753388</v>
      </c>
      <c r="X85" s="343"/>
      <c r="Y85" s="367" t="str">
        <f t="shared" ca="1" si="51"/>
        <v/>
      </c>
      <c r="Z85" s="368" t="str">
        <f t="shared" ca="1" si="52"/>
        <v/>
      </c>
      <c r="AA85" s="369" t="str">
        <f t="shared" ca="1" si="53"/>
        <v/>
      </c>
      <c r="AB85" s="344"/>
      <c r="AC85" s="363" t="e">
        <f t="shared" ca="1" si="54"/>
        <v>#N/A</v>
      </c>
      <c r="AD85" s="376" t="e">
        <f t="shared" ca="1" si="55"/>
        <v>#N/A</v>
      </c>
      <c r="AE85" s="377">
        <f t="shared" ca="1" si="34"/>
        <v>23.318423231346934</v>
      </c>
      <c r="AF85" s="344"/>
      <c r="AG85" s="359">
        <f t="shared" ca="1" si="56"/>
        <v>74.098169176635693</v>
      </c>
      <c r="AH85" s="357">
        <f t="shared" ca="1" si="57"/>
        <v>83.723014153526819</v>
      </c>
    </row>
    <row r="86" spans="1:34" x14ac:dyDescent="0.25">
      <c r="A86" s="402">
        <f t="shared" ca="1" si="35"/>
        <v>0.01</v>
      </c>
      <c r="B86" s="357">
        <f t="shared" ca="1" si="36"/>
        <v>0.82000000000000051</v>
      </c>
      <c r="C86" s="342"/>
      <c r="D86" s="359">
        <f t="shared" ca="1" si="37"/>
        <v>16.210551872456634</v>
      </c>
      <c r="E86" s="360">
        <f t="shared" ca="1" si="38"/>
        <v>72.301867267790854</v>
      </c>
      <c r="F86" s="357">
        <f t="shared" ca="1" si="39"/>
        <v>74.096842054293063</v>
      </c>
      <c r="G86" s="359">
        <f t="shared" ca="1" si="40"/>
        <v>11.716646512605156</v>
      </c>
      <c r="H86" s="360">
        <f t="shared" ca="1" si="41"/>
        <v>59.250633518525241</v>
      </c>
      <c r="I86" s="357">
        <f t="shared" ca="1" si="42"/>
        <v>60.39799150508177</v>
      </c>
      <c r="J86" s="359">
        <f t="shared" ca="1" si="43"/>
        <v>4.4816285577311517</v>
      </c>
      <c r="K86" s="360">
        <f t="shared" ca="1" si="44"/>
        <v>23.907314473168796</v>
      </c>
      <c r="L86" s="357">
        <f t="shared" ca="1" si="29"/>
        <v>24.323747241090498</v>
      </c>
      <c r="M86" s="359">
        <f t="shared" ca="1" si="45"/>
        <v>1.3755678621607146</v>
      </c>
      <c r="N86" s="357">
        <f t="shared" ca="1" si="46"/>
        <v>78.814232935642323</v>
      </c>
      <c r="O86" s="343"/>
      <c r="P86" s="363">
        <f t="shared" ca="1" si="47"/>
        <v>6</v>
      </c>
      <c r="Q86" s="357">
        <f t="shared" ca="1" si="48"/>
        <v>1021.7315789473683</v>
      </c>
      <c r="R86" s="359">
        <f t="shared" ca="1" si="49"/>
        <v>0.51181830985466448</v>
      </c>
      <c r="S86" s="360">
        <f t="shared" ca="1" si="50"/>
        <v>12.088876186423498</v>
      </c>
      <c r="T86" s="357">
        <f t="shared" ca="1" si="30"/>
        <v>118.59187538881451</v>
      </c>
      <c r="U86" s="364">
        <f t="shared" ca="1" si="31"/>
        <v>0</v>
      </c>
      <c r="V86" s="359">
        <f t="shared" ca="1" si="32"/>
        <v>1.2220748506003656</v>
      </c>
      <c r="W86" s="357">
        <f t="shared" ca="1" si="33"/>
        <v>10.179886661973535</v>
      </c>
      <c r="X86" s="343"/>
      <c r="Y86" s="367" t="str">
        <f t="shared" ca="1" si="51"/>
        <v/>
      </c>
      <c r="Z86" s="368" t="str">
        <f t="shared" ca="1" si="52"/>
        <v/>
      </c>
      <c r="AA86" s="369" t="str">
        <f t="shared" ca="1" si="53"/>
        <v/>
      </c>
      <c r="AB86" s="344"/>
      <c r="AC86" s="363" t="e">
        <f t="shared" ca="1" si="54"/>
        <v>#N/A</v>
      </c>
      <c r="AD86" s="376" t="e">
        <f t="shared" ca="1" si="55"/>
        <v>#N/A</v>
      </c>
      <c r="AE86" s="377">
        <f t="shared" ca="1" si="34"/>
        <v>23.907314473168796</v>
      </c>
      <c r="AF86" s="344"/>
      <c r="AG86" s="359">
        <f t="shared" ca="1" si="56"/>
        <v>74.07247750041239</v>
      </c>
      <c r="AH86" s="357">
        <f t="shared" ca="1" si="57"/>
        <v>83.696718801951306</v>
      </c>
    </row>
    <row r="87" spans="1:34" x14ac:dyDescent="0.25">
      <c r="A87" s="402">
        <f t="shared" ca="1" si="35"/>
        <v>0.01</v>
      </c>
      <c r="B87" s="357">
        <f t="shared" ca="1" si="36"/>
        <v>0.83000000000000052</v>
      </c>
      <c r="C87" s="342"/>
      <c r="D87" s="359">
        <f t="shared" ca="1" si="37"/>
        <v>16.231226125767417</v>
      </c>
      <c r="E87" s="360">
        <f t="shared" ca="1" si="38"/>
        <v>72.270690042113827</v>
      </c>
      <c r="F87" s="357">
        <f t="shared" ca="1" si="39"/>
        <v>74.070948020860953</v>
      </c>
      <c r="G87" s="359">
        <f t="shared" ca="1" si="40"/>
        <v>11.878958773862831</v>
      </c>
      <c r="H87" s="360">
        <f t="shared" ca="1" si="41"/>
        <v>59.973340418946378</v>
      </c>
      <c r="I87" s="357">
        <f t="shared" ca="1" si="42"/>
        <v>61.138459438866796</v>
      </c>
      <c r="J87" s="359">
        <f t="shared" ca="1" si="43"/>
        <v>4.5996065841634914</v>
      </c>
      <c r="K87" s="360">
        <f t="shared" ca="1" si="44"/>
        <v>24.503434342856153</v>
      </c>
      <c r="L87" s="357">
        <f t="shared" ca="1" si="29"/>
        <v>24.9313993855889</v>
      </c>
      <c r="M87" s="359">
        <f t="shared" ca="1" si="45"/>
        <v>1.3752565935308001</v>
      </c>
      <c r="N87" s="357">
        <f t="shared" ca="1" si="46"/>
        <v>78.796398556853404</v>
      </c>
      <c r="O87" s="343"/>
      <c r="P87" s="363">
        <f t="shared" ca="1" si="47"/>
        <v>6</v>
      </c>
      <c r="Q87" s="357">
        <f t="shared" ca="1" si="48"/>
        <v>1021.2298245614035</v>
      </c>
      <c r="R87" s="359">
        <f t="shared" ca="1" si="49"/>
        <v>0.51156696489569653</v>
      </c>
      <c r="S87" s="360">
        <f t="shared" ca="1" si="50"/>
        <v>12.083760516774541</v>
      </c>
      <c r="T87" s="357">
        <f t="shared" ca="1" si="30"/>
        <v>118.54169066955825</v>
      </c>
      <c r="U87" s="364">
        <f t="shared" ca="1" si="31"/>
        <v>0</v>
      </c>
      <c r="V87" s="359">
        <f t="shared" ca="1" si="32"/>
        <v>1.222002002354923</v>
      </c>
      <c r="W87" s="357">
        <f t="shared" ca="1" si="33"/>
        <v>10.43040189649763</v>
      </c>
      <c r="X87" s="343"/>
      <c r="Y87" s="367" t="str">
        <f t="shared" ca="1" si="51"/>
        <v/>
      </c>
      <c r="Z87" s="368" t="str">
        <f t="shared" ca="1" si="52"/>
        <v/>
      </c>
      <c r="AA87" s="369" t="str">
        <f t="shared" ca="1" si="53"/>
        <v/>
      </c>
      <c r="AB87" s="344"/>
      <c r="AC87" s="363" t="e">
        <f t="shared" ca="1" si="54"/>
        <v>#N/A</v>
      </c>
      <c r="AD87" s="376" t="e">
        <f t="shared" ca="1" si="55"/>
        <v>#N/A</v>
      </c>
      <c r="AE87" s="377">
        <f t="shared" ca="1" si="34"/>
        <v>24.503434342856153</v>
      </c>
      <c r="AF87" s="344"/>
      <c r="AG87" s="359">
        <f t="shared" ca="1" si="56"/>
        <v>74.046497198863136</v>
      </c>
      <c r="AH87" s="357">
        <f t="shared" ca="1" si="57"/>
        <v>83.670140309045493</v>
      </c>
    </row>
    <row r="88" spans="1:34" x14ac:dyDescent="0.25">
      <c r="A88" s="402">
        <f t="shared" ca="1" si="35"/>
        <v>0.01</v>
      </c>
      <c r="B88" s="357">
        <f t="shared" ca="1" si="36"/>
        <v>0.84000000000000052</v>
      </c>
      <c r="C88" s="342"/>
      <c r="D88" s="359">
        <f t="shared" ca="1" si="37"/>
        <v>16.25155539203563</v>
      </c>
      <c r="E88" s="360">
        <f t="shared" ca="1" si="38"/>
        <v>72.239284151777028</v>
      </c>
      <c r="F88" s="357">
        <f t="shared" ca="1" si="39"/>
        <v>74.04476502374483</v>
      </c>
      <c r="G88" s="359">
        <f t="shared" ca="1" si="40"/>
        <v>12.041474327783186</v>
      </c>
      <c r="H88" s="360">
        <f t="shared" ca="1" si="41"/>
        <v>60.695733260464152</v>
      </c>
      <c r="I88" s="357">
        <f t="shared" ca="1" si="42"/>
        <v>61.878664659251299</v>
      </c>
      <c r="J88" s="359">
        <f t="shared" ca="1" si="43"/>
        <v>4.7192087496717212</v>
      </c>
      <c r="K88" s="360">
        <f t="shared" ca="1" si="44"/>
        <v>25.106779711253207</v>
      </c>
      <c r="L88" s="357">
        <f t="shared" ca="1" si="29"/>
        <v>25.546454131491004</v>
      </c>
      <c r="M88" s="359">
        <f t="shared" ca="1" si="45"/>
        <v>1.374948564276075</v>
      </c>
      <c r="N88" s="357">
        <f t="shared" ca="1" si="46"/>
        <v>78.778749780591099</v>
      </c>
      <c r="O88" s="343"/>
      <c r="P88" s="363">
        <f t="shared" ca="1" si="47"/>
        <v>6</v>
      </c>
      <c r="Q88" s="357">
        <f t="shared" ca="1" si="48"/>
        <v>1020.7280701754386</v>
      </c>
      <c r="R88" s="359">
        <f t="shared" ca="1" si="49"/>
        <v>0.51131561993672869</v>
      </c>
      <c r="S88" s="360">
        <f t="shared" ca="1" si="50"/>
        <v>12.078647360575173</v>
      </c>
      <c r="T88" s="357">
        <f t="shared" ca="1" si="30"/>
        <v>118.49153060724245</v>
      </c>
      <c r="U88" s="364">
        <f t="shared" ca="1" si="31"/>
        <v>0</v>
      </c>
      <c r="V88" s="359">
        <f t="shared" ca="1" si="32"/>
        <v>1.2219282755408383</v>
      </c>
      <c r="W88" s="357">
        <f t="shared" ca="1" si="33"/>
        <v>10.683848558452748</v>
      </c>
      <c r="X88" s="343"/>
      <c r="Y88" s="367" t="str">
        <f t="shared" ca="1" si="51"/>
        <v/>
      </c>
      <c r="Z88" s="368" t="str">
        <f t="shared" ca="1" si="52"/>
        <v/>
      </c>
      <c r="AA88" s="369" t="str">
        <f t="shared" ca="1" si="53"/>
        <v/>
      </c>
      <c r="AB88" s="344"/>
      <c r="AC88" s="363" t="e">
        <f t="shared" ca="1" si="54"/>
        <v>#N/A</v>
      </c>
      <c r="AD88" s="376" t="e">
        <f t="shared" ca="1" si="55"/>
        <v>#N/A</v>
      </c>
      <c r="AE88" s="377">
        <f t="shared" ca="1" si="34"/>
        <v>25.106779711253207</v>
      </c>
      <c r="AF88" s="344"/>
      <c r="AG88" s="359">
        <f t="shared" ca="1" si="56"/>
        <v>74.02022847981236</v>
      </c>
      <c r="AH88" s="357">
        <f t="shared" ca="1" si="57"/>
        <v>83.643278764521483</v>
      </c>
    </row>
    <row r="89" spans="1:34" x14ac:dyDescent="0.25">
      <c r="A89" s="402">
        <f t="shared" ca="1" si="35"/>
        <v>0.01</v>
      </c>
      <c r="B89" s="357">
        <f t="shared" ca="1" si="36"/>
        <v>0.85000000000000053</v>
      </c>
      <c r="C89" s="342"/>
      <c r="D89" s="359">
        <f t="shared" ca="1" si="37"/>
        <v>16.271545930490834</v>
      </c>
      <c r="E89" s="360">
        <f t="shared" ca="1" si="38"/>
        <v>72.207648723773929</v>
      </c>
      <c r="F89" s="357">
        <f t="shared" ca="1" si="39"/>
        <v>74.018293287429998</v>
      </c>
      <c r="G89" s="359">
        <f t="shared" ca="1" si="40"/>
        <v>12.204189787088096</v>
      </c>
      <c r="H89" s="360">
        <f t="shared" ca="1" si="41"/>
        <v>61.417809747701888</v>
      </c>
      <c r="I89" s="357">
        <f t="shared" ca="1" si="42"/>
        <v>62.618604284702563</v>
      </c>
      <c r="J89" s="359">
        <f t="shared" ca="1" si="43"/>
        <v>4.8404370702460779</v>
      </c>
      <c r="K89" s="360">
        <f t="shared" ca="1" si="44"/>
        <v>25.717347426294037</v>
      </c>
      <c r="L89" s="357">
        <f t="shared" ca="1" si="29"/>
        <v>26.16890883616902</v>
      </c>
      <c r="M89" s="359">
        <f t="shared" ca="1" si="45"/>
        <v>1.3746437015267994</v>
      </c>
      <c r="N89" s="357">
        <f t="shared" ca="1" si="46"/>
        <v>78.761282431726841</v>
      </c>
      <c r="O89" s="343"/>
      <c r="P89" s="363">
        <f t="shared" ca="1" si="47"/>
        <v>6</v>
      </c>
      <c r="Q89" s="357">
        <f t="shared" ca="1" si="48"/>
        <v>1020.2263157894737</v>
      </c>
      <c r="R89" s="359">
        <f t="shared" ca="1" si="49"/>
        <v>0.51106427497776075</v>
      </c>
      <c r="S89" s="360">
        <f t="shared" ca="1" si="50"/>
        <v>12.073536717825396</v>
      </c>
      <c r="T89" s="357">
        <f t="shared" ca="1" si="30"/>
        <v>118.44139520186714</v>
      </c>
      <c r="U89" s="364">
        <f t="shared" ca="1" si="31"/>
        <v>0</v>
      </c>
      <c r="V89" s="359">
        <f t="shared" ca="1" si="32"/>
        <v>1.2218536707024623</v>
      </c>
      <c r="W89" s="357">
        <f t="shared" ca="1" si="33"/>
        <v>10.940221304963091</v>
      </c>
      <c r="X89" s="343"/>
      <c r="Y89" s="367" t="str">
        <f t="shared" ca="1" si="51"/>
        <v/>
      </c>
      <c r="Z89" s="368" t="str">
        <f t="shared" ca="1" si="52"/>
        <v/>
      </c>
      <c r="AA89" s="369" t="str">
        <f t="shared" ca="1" si="53"/>
        <v/>
      </c>
      <c r="AB89" s="344"/>
      <c r="AC89" s="363" t="e">
        <f t="shared" ca="1" si="54"/>
        <v>#N/A</v>
      </c>
      <c r="AD89" s="376" t="e">
        <f t="shared" ca="1" si="55"/>
        <v>#N/A</v>
      </c>
      <c r="AE89" s="377">
        <f t="shared" ca="1" si="34"/>
        <v>25.717347426294037</v>
      </c>
      <c r="AF89" s="344"/>
      <c r="AG89" s="359">
        <f t="shared" ca="1" si="56"/>
        <v>73.993671552417538</v>
      </c>
      <c r="AH89" s="357">
        <f t="shared" ca="1" si="57"/>
        <v>83.616134263337287</v>
      </c>
    </row>
    <row r="90" spans="1:34" x14ac:dyDescent="0.25">
      <c r="A90" s="402">
        <f t="shared" ca="1" si="35"/>
        <v>0.01</v>
      </c>
      <c r="B90" s="357">
        <f t="shared" ca="1" si="36"/>
        <v>0.86000000000000054</v>
      </c>
      <c r="C90" s="342"/>
      <c r="D90" s="359">
        <f t="shared" ca="1" si="37"/>
        <v>16.291203785000334</v>
      </c>
      <c r="E90" s="360">
        <f t="shared" ca="1" si="38"/>
        <v>72.175782922417696</v>
      </c>
      <c r="F90" s="357">
        <f t="shared" ca="1" si="39"/>
        <v>73.9915330374251</v>
      </c>
      <c r="G90" s="359">
        <f t="shared" ca="1" si="40"/>
        <v>12.367101824938098</v>
      </c>
      <c r="H90" s="360">
        <f t="shared" ca="1" si="41"/>
        <v>62.139567576926062</v>
      </c>
      <c r="I90" s="357">
        <f t="shared" ca="1" si="42"/>
        <v>63.358275435776726</v>
      </c>
      <c r="J90" s="359">
        <f t="shared" ca="1" si="43"/>
        <v>4.9632935283062087</v>
      </c>
      <c r="K90" s="360">
        <f t="shared" ca="1" si="44"/>
        <v>26.335134312917177</v>
      </c>
      <c r="L90" s="357">
        <f t="shared" ca="1" si="29"/>
        <v>26.798760828208344</v>
      </c>
      <c r="M90" s="359">
        <f t="shared" ca="1" si="45"/>
        <v>1.3743419348808832</v>
      </c>
      <c r="N90" s="357">
        <f t="shared" ca="1" si="46"/>
        <v>78.743992476518031</v>
      </c>
      <c r="O90" s="343"/>
      <c r="P90" s="363">
        <f t="shared" ca="1" si="47"/>
        <v>6</v>
      </c>
      <c r="Q90" s="357">
        <f t="shared" ca="1" si="48"/>
        <v>1019.7245614035087</v>
      </c>
      <c r="R90" s="359">
        <f t="shared" ca="1" si="49"/>
        <v>0.51081293001879291</v>
      </c>
      <c r="S90" s="360">
        <f t="shared" ca="1" si="50"/>
        <v>12.068428588525208</v>
      </c>
      <c r="T90" s="357">
        <f t="shared" ca="1" si="30"/>
        <v>118.39128445343229</v>
      </c>
      <c r="U90" s="364">
        <f t="shared" ca="1" si="31"/>
        <v>0</v>
      </c>
      <c r="V90" s="359">
        <f t="shared" ca="1" si="32"/>
        <v>1.2217781883887433</v>
      </c>
      <c r="W90" s="357">
        <f t="shared" ca="1" si="33"/>
        <v>11.199514736225328</v>
      </c>
      <c r="X90" s="343"/>
      <c r="Y90" s="367" t="str">
        <f t="shared" ca="1" si="51"/>
        <v/>
      </c>
      <c r="Z90" s="368" t="str">
        <f t="shared" ca="1" si="52"/>
        <v/>
      </c>
      <c r="AA90" s="369" t="str">
        <f t="shared" ca="1" si="53"/>
        <v/>
      </c>
      <c r="AB90" s="344"/>
      <c r="AC90" s="363" t="e">
        <f t="shared" ca="1" si="54"/>
        <v>#N/A</v>
      </c>
      <c r="AD90" s="376" t="e">
        <f t="shared" ca="1" si="55"/>
        <v>#N/A</v>
      </c>
      <c r="AE90" s="377">
        <f t="shared" ca="1" si="34"/>
        <v>26.335134312917177</v>
      </c>
      <c r="AF90" s="344"/>
      <c r="AG90" s="359">
        <f t="shared" ca="1" si="56"/>
        <v>73.966826627342371</v>
      </c>
      <c r="AH90" s="357">
        <f t="shared" ca="1" si="57"/>
        <v>83.588706905695133</v>
      </c>
    </row>
    <row r="91" spans="1:34" x14ac:dyDescent="0.25">
      <c r="A91" s="402">
        <f t="shared" ca="1" si="35"/>
        <v>0.01</v>
      </c>
      <c r="B91" s="357">
        <f t="shared" ca="1" si="36"/>
        <v>0.87000000000000055</v>
      </c>
      <c r="C91" s="342"/>
      <c r="D91" s="359">
        <f t="shared" ca="1" si="37"/>
        <v>16.310534793988069</v>
      </c>
      <c r="E91" s="360">
        <f t="shared" ca="1" si="38"/>
        <v>72.143685947911962</v>
      </c>
      <c r="F91" s="357">
        <f t="shared" ca="1" si="39"/>
        <v>73.964484500446872</v>
      </c>
      <c r="G91" s="359">
        <f t="shared" ca="1" si="40"/>
        <v>12.530207172877979</v>
      </c>
      <c r="H91" s="360">
        <f t="shared" ca="1" si="41"/>
        <v>62.861004436405182</v>
      </c>
      <c r="I91" s="357">
        <f t="shared" ca="1" si="42"/>
        <v>64.097675235136208</v>
      </c>
      <c r="J91" s="359">
        <f t="shared" ca="1" si="43"/>
        <v>5.0877800732952894</v>
      </c>
      <c r="K91" s="360">
        <f t="shared" ca="1" si="44"/>
        <v>26.960137172983831</v>
      </c>
      <c r="L91" s="357">
        <f t="shared" ca="1" si="29"/>
        <v>27.436007407425834</v>
      </c>
      <c r="M91" s="359">
        <f t="shared" ca="1" si="45"/>
        <v>1.3740431962925006</v>
      </c>
      <c r="N91" s="357">
        <f t="shared" ca="1" si="46"/>
        <v>78.726876016226015</v>
      </c>
      <c r="O91" s="343"/>
      <c r="P91" s="363">
        <f t="shared" ca="1" si="47"/>
        <v>6</v>
      </c>
      <c r="Q91" s="357">
        <f t="shared" ca="1" si="48"/>
        <v>1019.2228070175438</v>
      </c>
      <c r="R91" s="359">
        <f t="shared" ca="1" si="49"/>
        <v>0.51056158505982496</v>
      </c>
      <c r="S91" s="360">
        <f t="shared" ca="1" si="50"/>
        <v>12.063322972674611</v>
      </c>
      <c r="T91" s="357">
        <f t="shared" ca="1" si="30"/>
        <v>118.34119836193794</v>
      </c>
      <c r="U91" s="364">
        <f t="shared" ca="1" si="31"/>
        <v>0</v>
      </c>
      <c r="V91" s="359">
        <f t="shared" ca="1" si="32"/>
        <v>1.221701829153232</v>
      </c>
      <c r="W91" s="357">
        <f t="shared" ca="1" si="33"/>
        <v>11.461723395663935</v>
      </c>
      <c r="X91" s="343"/>
      <c r="Y91" s="367" t="str">
        <f t="shared" ca="1" si="51"/>
        <v/>
      </c>
      <c r="Z91" s="368" t="str">
        <f t="shared" ca="1" si="52"/>
        <v/>
      </c>
      <c r="AA91" s="369" t="str">
        <f t="shared" ca="1" si="53"/>
        <v/>
      </c>
      <c r="AB91" s="344"/>
      <c r="AC91" s="363" t="e">
        <f t="shared" ca="1" si="54"/>
        <v>#N/A</v>
      </c>
      <c r="AD91" s="376" t="e">
        <f t="shared" ca="1" si="55"/>
        <v>#N/A</v>
      </c>
      <c r="AE91" s="377">
        <f t="shared" ca="1" si="34"/>
        <v>26.960137172983831</v>
      </c>
      <c r="AF91" s="344"/>
      <c r="AG91" s="359">
        <f t="shared" ca="1" si="56"/>
        <v>73.939693916920163</v>
      </c>
      <c r="AH91" s="357">
        <f t="shared" ca="1" si="57"/>
        <v>83.560996797039692</v>
      </c>
    </row>
    <row r="92" spans="1:34" x14ac:dyDescent="0.25">
      <c r="A92" s="402">
        <f t="shared" ca="1" si="35"/>
        <v>0.01</v>
      </c>
      <c r="B92" s="357">
        <f t="shared" ca="1" si="36"/>
        <v>0.88000000000000056</v>
      </c>
      <c r="C92" s="342"/>
      <c r="D92" s="359">
        <f t="shared" ca="1" si="37"/>
        <v>16.329544599789784</v>
      </c>
      <c r="E92" s="360">
        <f t="shared" ca="1" si="38"/>
        <v>72.111357035000509</v>
      </c>
      <c r="F92" s="357">
        <f t="shared" ca="1" si="39"/>
        <v>73.937147904594212</v>
      </c>
      <c r="G92" s="359">
        <f t="shared" ca="1" si="40"/>
        <v>12.693502618875877</v>
      </c>
      <c r="H92" s="360">
        <f t="shared" ca="1" si="41"/>
        <v>63.582118006755188</v>
      </c>
      <c r="I92" s="357">
        <f t="shared" ca="1" si="42"/>
        <v>64.836800807568778</v>
      </c>
      <c r="J92" s="359">
        <f t="shared" ca="1" si="43"/>
        <v>5.2138986222540584</v>
      </c>
      <c r="K92" s="360">
        <f t="shared" ca="1" si="44"/>
        <v>27.592352785199633</v>
      </c>
      <c r="L92" s="357">
        <f t="shared" ca="1" si="29"/>
        <v>28.080645844888554</v>
      </c>
      <c r="M92" s="359">
        <f t="shared" ca="1" si="45"/>
        <v>1.3737474199669601</v>
      </c>
      <c r="N92" s="357">
        <f t="shared" ca="1" si="46"/>
        <v>78.709929281092656</v>
      </c>
      <c r="O92" s="343"/>
      <c r="P92" s="363">
        <f t="shared" ca="1" si="47"/>
        <v>6</v>
      </c>
      <c r="Q92" s="357">
        <f t="shared" ca="1" si="48"/>
        <v>1018.7210526315789</v>
      </c>
      <c r="R92" s="359">
        <f t="shared" ca="1" si="49"/>
        <v>0.51031024010085713</v>
      </c>
      <c r="S92" s="360">
        <f t="shared" ca="1" si="50"/>
        <v>12.058219870273602</v>
      </c>
      <c r="T92" s="357">
        <f t="shared" ca="1" si="30"/>
        <v>118.29113692738404</v>
      </c>
      <c r="U92" s="364">
        <f t="shared" ca="1" si="31"/>
        <v>0</v>
      </c>
      <c r="V92" s="359">
        <f t="shared" ca="1" si="32"/>
        <v>1.2216245935540857</v>
      </c>
      <c r="W92" s="357">
        <f t="shared" ca="1" si="33"/>
        <v>11.726841770088564</v>
      </c>
      <c r="X92" s="343"/>
      <c r="Y92" s="367" t="str">
        <f t="shared" ca="1" si="51"/>
        <v/>
      </c>
      <c r="Z92" s="368" t="str">
        <f t="shared" ca="1" si="52"/>
        <v/>
      </c>
      <c r="AA92" s="369" t="str">
        <f t="shared" ca="1" si="53"/>
        <v/>
      </c>
      <c r="AB92" s="344"/>
      <c r="AC92" s="363" t="e">
        <f t="shared" ca="1" si="54"/>
        <v>#N/A</v>
      </c>
      <c r="AD92" s="376" t="e">
        <f t="shared" ca="1" si="55"/>
        <v>#N/A</v>
      </c>
      <c r="AE92" s="377">
        <f t="shared" ca="1" si="34"/>
        <v>27.592352785199633</v>
      </c>
      <c r="AF92" s="344"/>
      <c r="AG92" s="359">
        <f t="shared" ca="1" si="56"/>
        <v>73.912273635307827</v>
      </c>
      <c r="AH92" s="357">
        <f t="shared" ca="1" si="57"/>
        <v>83.533004048056071</v>
      </c>
    </row>
    <row r="93" spans="1:34" x14ac:dyDescent="0.25">
      <c r="A93" s="402">
        <f t="shared" ca="1" si="35"/>
        <v>0.01</v>
      </c>
      <c r="B93" s="357">
        <f t="shared" ca="1" si="36"/>
        <v>0.89000000000000057</v>
      </c>
      <c r="C93" s="342"/>
      <c r="D93" s="359">
        <f t="shared" ca="1" si="37"/>
        <v>16.348238657482106</v>
      </c>
      <c r="E93" s="360">
        <f t="shared" ca="1" si="38"/>
        <v>72.07879545169051</v>
      </c>
      <c r="F93" s="357">
        <f t="shared" ca="1" si="39"/>
        <v>73.909523479512657</v>
      </c>
      <c r="G93" s="359">
        <f t="shared" ca="1" si="40"/>
        <v>12.856985005450698</v>
      </c>
      <c r="H93" s="360">
        <f t="shared" ca="1" si="41"/>
        <v>64.302905961272089</v>
      </c>
      <c r="I93" s="357">
        <f t="shared" ca="1" si="42"/>
        <v>65.575649280007781</v>
      </c>
      <c r="J93" s="359">
        <f t="shared" ca="1" si="43"/>
        <v>5.3416510603756917</v>
      </c>
      <c r="K93" s="360">
        <f t="shared" ca="1" si="44"/>
        <v>28.23177790503977</v>
      </c>
      <c r="L93" s="357">
        <f t="shared" ca="1" si="29"/>
        <v>28.732673382932965</v>
      </c>
      <c r="M93" s="359">
        <f t="shared" ca="1" si="45"/>
        <v>1.3734545422614073</v>
      </c>
      <c r="N93" s="357">
        <f t="shared" ca="1" si="46"/>
        <v>78.693148624651002</v>
      </c>
      <c r="O93" s="343"/>
      <c r="P93" s="363">
        <f t="shared" ca="1" si="47"/>
        <v>6</v>
      </c>
      <c r="Q93" s="357">
        <f t="shared" ca="1" si="48"/>
        <v>1018.219298245614</v>
      </c>
      <c r="R93" s="359">
        <f t="shared" ca="1" si="49"/>
        <v>0.51005889514188918</v>
      </c>
      <c r="S93" s="360">
        <f t="shared" ca="1" si="50"/>
        <v>12.053119281322182</v>
      </c>
      <c r="T93" s="357">
        <f t="shared" ca="1" si="30"/>
        <v>118.24110014977062</v>
      </c>
      <c r="U93" s="364">
        <f t="shared" ca="1" si="31"/>
        <v>0</v>
      </c>
      <c r="V93" s="359">
        <f t="shared" ca="1" si="32"/>
        <v>1.2215464821540736</v>
      </c>
      <c r="W93" s="357">
        <f t="shared" ca="1" si="33"/>
        <v>11.994864289853304</v>
      </c>
      <c r="X93" s="343"/>
      <c r="Y93" s="367" t="str">
        <f t="shared" ca="1" si="51"/>
        <v/>
      </c>
      <c r="Z93" s="368" t="str">
        <f t="shared" ca="1" si="52"/>
        <v/>
      </c>
      <c r="AA93" s="369" t="str">
        <f t="shared" ca="1" si="53"/>
        <v/>
      </c>
      <c r="AB93" s="344"/>
      <c r="AC93" s="363" t="e">
        <f t="shared" ca="1" si="54"/>
        <v>#N/A</v>
      </c>
      <c r="AD93" s="376" t="e">
        <f t="shared" ca="1" si="55"/>
        <v>#N/A</v>
      </c>
      <c r="AE93" s="377">
        <f t="shared" ca="1" si="34"/>
        <v>28.23177790503977</v>
      </c>
      <c r="AF93" s="344"/>
      <c r="AG93" s="359">
        <f t="shared" ca="1" si="56"/>
        <v>73.884565998631075</v>
      </c>
      <c r="AH93" s="357">
        <f t="shared" ca="1" si="57"/>
        <v>83.504728774667612</v>
      </c>
    </row>
    <row r="94" spans="1:34" x14ac:dyDescent="0.25">
      <c r="A94" s="402">
        <f t="shared" ca="1" si="35"/>
        <v>0.01</v>
      </c>
      <c r="B94" s="357">
        <f t="shared" ca="1" si="36"/>
        <v>0.90000000000000058</v>
      </c>
      <c r="C94" s="342"/>
      <c r="D94" s="359">
        <f t="shared" ca="1" si="37"/>
        <v>16.366622243221286</v>
      </c>
      <c r="E94" s="360">
        <f t="shared" ca="1" si="38"/>
        <v>72.046000498044478</v>
      </c>
      <c r="F94" s="357">
        <f t="shared" ca="1" si="39"/>
        <v>73.881611456549408</v>
      </c>
      <c r="G94" s="359">
        <f t="shared" ca="1" si="40"/>
        <v>13.02065122788291</v>
      </c>
      <c r="H94" s="360">
        <f t="shared" ca="1" si="41"/>
        <v>65.023365966252527</v>
      </c>
      <c r="I94" s="357">
        <f t="shared" ca="1" si="42"/>
        <v>66.314217781554035</v>
      </c>
      <c r="J94" s="359">
        <f t="shared" ca="1" si="43"/>
        <v>5.4710392415423597</v>
      </c>
      <c r="K94" s="360">
        <f t="shared" ca="1" si="44"/>
        <v>28.878409264677394</v>
      </c>
      <c r="L94" s="357">
        <f t="shared" ca="1" si="29"/>
        <v>29.392087235184601</v>
      </c>
      <c r="M94" s="359">
        <f t="shared" ca="1" si="45"/>
        <v>1.3731645015909792</v>
      </c>
      <c r="N94" s="357">
        <f t="shared" ca="1" si="46"/>
        <v>78.676530518348329</v>
      </c>
      <c r="O94" s="343"/>
      <c r="P94" s="363">
        <f t="shared" ca="1" si="47"/>
        <v>6</v>
      </c>
      <c r="Q94" s="357">
        <f t="shared" ca="1" si="48"/>
        <v>1017.7175438596491</v>
      </c>
      <c r="R94" s="359">
        <f t="shared" ca="1" si="49"/>
        <v>0.50980755018292134</v>
      </c>
      <c r="S94" s="360">
        <f t="shared" ca="1" si="50"/>
        <v>12.048021205820353</v>
      </c>
      <c r="T94" s="357">
        <f t="shared" ca="1" si="30"/>
        <v>118.19108802909767</v>
      </c>
      <c r="U94" s="364">
        <f t="shared" ca="1" si="31"/>
        <v>0</v>
      </c>
      <c r="V94" s="359">
        <f t="shared" ca="1" si="32"/>
        <v>1.2214674955205813</v>
      </c>
      <c r="W94" s="357">
        <f t="shared" ca="1" si="33"/>
        <v>12.265785329018069</v>
      </c>
      <c r="X94" s="343"/>
      <c r="Y94" s="367" t="str">
        <f t="shared" ca="1" si="51"/>
        <v/>
      </c>
      <c r="Z94" s="368" t="str">
        <f t="shared" ca="1" si="52"/>
        <v/>
      </c>
      <c r="AA94" s="369" t="str">
        <f t="shared" ca="1" si="53"/>
        <v/>
      </c>
      <c r="AB94" s="344"/>
      <c r="AC94" s="363" t="e">
        <f t="shared" ca="1" si="54"/>
        <v>#N/A</v>
      </c>
      <c r="AD94" s="376" t="e">
        <f t="shared" ca="1" si="55"/>
        <v>#N/A</v>
      </c>
      <c r="AE94" s="377">
        <f t="shared" ca="1" si="34"/>
        <v>28.878409264677394</v>
      </c>
      <c r="AF94" s="344"/>
      <c r="AG94" s="359">
        <f t="shared" ca="1" si="56"/>
        <v>73.856571225121584</v>
      </c>
      <c r="AH94" s="357">
        <f t="shared" ca="1" si="57"/>
        <v>83.476171098033504</v>
      </c>
    </row>
    <row r="95" spans="1:34" x14ac:dyDescent="0.25">
      <c r="A95" s="402">
        <f t="shared" ca="1" si="35"/>
        <v>0.01</v>
      </c>
      <c r="B95" s="357">
        <f t="shared" ca="1" si="36"/>
        <v>0.91000000000000059</v>
      </c>
      <c r="C95" s="342"/>
      <c r="D95" s="359">
        <f t="shared" ca="1" si="37"/>
        <v>16.384700462123526</v>
      </c>
      <c r="E95" s="360">
        <f t="shared" ca="1" si="38"/>
        <v>72.012971505036745</v>
      </c>
      <c r="F95" s="357">
        <f t="shared" ca="1" si="39"/>
        <v>73.853412068899999</v>
      </c>
      <c r="G95" s="359">
        <f t="shared" ca="1" si="40"/>
        <v>13.184498232504145</v>
      </c>
      <c r="H95" s="360">
        <f t="shared" ca="1" si="41"/>
        <v>65.743495681302889</v>
      </c>
      <c r="I95" s="357">
        <f t="shared" ca="1" si="42"/>
        <v>67.052503443498637</v>
      </c>
      <c r="J95" s="359">
        <f t="shared" ca="1" si="43"/>
        <v>5.6020649888442948</v>
      </c>
      <c r="K95" s="360">
        <f t="shared" ca="1" si="44"/>
        <v>29.532243572915171</v>
      </c>
      <c r="L95" s="357">
        <f t="shared" ca="1" si="29"/>
        <v>30.058884586578134</v>
      </c>
      <c r="M95" s="359">
        <f t="shared" ca="1" si="45"/>
        <v>1.3728772383400507</v>
      </c>
      <c r="N95" s="357">
        <f t="shared" ca="1" si="46"/>
        <v>78.660071546460912</v>
      </c>
      <c r="O95" s="343"/>
      <c r="P95" s="363">
        <f t="shared" ca="1" si="47"/>
        <v>6</v>
      </c>
      <c r="Q95" s="357">
        <f t="shared" ca="1" si="48"/>
        <v>1017.2157894736841</v>
      </c>
      <c r="R95" s="359">
        <f t="shared" ca="1" si="49"/>
        <v>0.5095562052239534</v>
      </c>
      <c r="S95" s="360">
        <f t="shared" ca="1" si="50"/>
        <v>12.042925643768113</v>
      </c>
      <c r="T95" s="357">
        <f t="shared" ca="1" si="30"/>
        <v>118.14110056536519</v>
      </c>
      <c r="U95" s="364">
        <f t="shared" ca="1" si="31"/>
        <v>0</v>
      </c>
      <c r="V95" s="359">
        <f t="shared" ca="1" si="32"/>
        <v>1.2213876342256142</v>
      </c>
      <c r="W95" s="357">
        <f t="shared" ca="1" si="33"/>
        <v>12.539599205511816</v>
      </c>
      <c r="X95" s="343"/>
      <c r="Y95" s="367" t="str">
        <f t="shared" ca="1" si="51"/>
        <v/>
      </c>
      <c r="Z95" s="368" t="str">
        <f t="shared" ca="1" si="52"/>
        <v/>
      </c>
      <c r="AA95" s="369" t="str">
        <f t="shared" ca="1" si="53"/>
        <v/>
      </c>
      <c r="AB95" s="344"/>
      <c r="AC95" s="363" t="e">
        <f t="shared" ca="1" si="54"/>
        <v>#N/A</v>
      </c>
      <c r="AD95" s="376" t="e">
        <f t="shared" ca="1" si="55"/>
        <v>#N/A</v>
      </c>
      <c r="AE95" s="377">
        <f t="shared" ca="1" si="34"/>
        <v>29.532243572915171</v>
      </c>
      <c r="AF95" s="344"/>
      <c r="AG95" s="359">
        <f t="shared" ca="1" si="56"/>
        <v>73.828289535246483</v>
      </c>
      <c r="AH95" s="357">
        <f t="shared" ca="1" si="57"/>
        <v>83.447331144546297</v>
      </c>
    </row>
    <row r="96" spans="1:34" x14ac:dyDescent="0.25">
      <c r="A96" s="402">
        <f t="shared" ca="1" si="35"/>
        <v>0.01</v>
      </c>
      <c r="B96" s="357">
        <f t="shared" ca="1" si="36"/>
        <v>0.9200000000000006</v>
      </c>
      <c r="C96" s="342"/>
      <c r="D96" s="359">
        <f t="shared" ca="1" si="37"/>
        <v>16.402478255717277</v>
      </c>
      <c r="E96" s="360">
        <f t="shared" ca="1" si="38"/>
        <v>71.979707833469845</v>
      </c>
      <c r="F96" s="357">
        <f t="shared" ca="1" si="39"/>
        <v>73.824925551746801</v>
      </c>
      <c r="G96" s="359">
        <f t="shared" ca="1" si="40"/>
        <v>13.348523015061318</v>
      </c>
      <c r="H96" s="360">
        <f t="shared" ca="1" si="41"/>
        <v>66.463292759637582</v>
      </c>
      <c r="I96" s="357">
        <f t="shared" ca="1" si="42"/>
        <v>67.790503399347273</v>
      </c>
      <c r="J96" s="359">
        <f t="shared" ca="1" si="43"/>
        <v>5.7347300950821225</v>
      </c>
      <c r="K96" s="360">
        <f t="shared" ca="1" si="44"/>
        <v>30.193277515119874</v>
      </c>
      <c r="L96" s="357">
        <f t="shared" ca="1" si="29"/>
        <v>30.733062593377898</v>
      </c>
      <c r="M96" s="359">
        <f t="shared" ca="1" si="45"/>
        <v>1.3725926947782432</v>
      </c>
      <c r="N96" s="357">
        <f t="shared" ca="1" si="46"/>
        <v>78.643768401281719</v>
      </c>
      <c r="O96" s="343"/>
      <c r="P96" s="363">
        <f t="shared" ca="1" si="47"/>
        <v>6</v>
      </c>
      <c r="Q96" s="357">
        <f t="shared" ca="1" si="48"/>
        <v>1016.7140350877193</v>
      </c>
      <c r="R96" s="359">
        <f t="shared" ca="1" si="49"/>
        <v>0.50930486026498556</v>
      </c>
      <c r="S96" s="360">
        <f t="shared" ca="1" si="50"/>
        <v>12.037832595165463</v>
      </c>
      <c r="T96" s="357">
        <f t="shared" ca="1" si="30"/>
        <v>118.0911377585732</v>
      </c>
      <c r="U96" s="364">
        <f t="shared" ca="1" si="31"/>
        <v>0</v>
      </c>
      <c r="V96" s="359">
        <f t="shared" ca="1" si="32"/>
        <v>1.2213068988458</v>
      </c>
      <c r="W96" s="357">
        <f t="shared" ca="1" si="33"/>
        <v>12.816300181297919</v>
      </c>
      <c r="X96" s="343"/>
      <c r="Y96" s="367" t="str">
        <f t="shared" ca="1" si="51"/>
        <v/>
      </c>
      <c r="Z96" s="368" t="str">
        <f t="shared" ca="1" si="52"/>
        <v/>
      </c>
      <c r="AA96" s="369" t="str">
        <f t="shared" ca="1" si="53"/>
        <v/>
      </c>
      <c r="AB96" s="344"/>
      <c r="AC96" s="363" t="e">
        <f t="shared" ca="1" si="54"/>
        <v>#N/A</v>
      </c>
      <c r="AD96" s="376" t="e">
        <f t="shared" ca="1" si="55"/>
        <v>#N/A</v>
      </c>
      <c r="AE96" s="377">
        <f t="shared" ca="1" si="34"/>
        <v>30.193277515119874</v>
      </c>
      <c r="AF96" s="344"/>
      <c r="AG96" s="359">
        <f t="shared" ca="1" si="56"/>
        <v>73.79972115183061</v>
      </c>
      <c r="AH96" s="357">
        <f t="shared" ca="1" si="57"/>
        <v>83.418209045829059</v>
      </c>
    </row>
    <row r="97" spans="1:34" x14ac:dyDescent="0.25">
      <c r="A97" s="402">
        <f t="shared" ca="1" si="35"/>
        <v>0.01</v>
      </c>
      <c r="B97" s="357">
        <f t="shared" ca="1" si="36"/>
        <v>0.9300000000000006</v>
      </c>
      <c r="C97" s="342"/>
      <c r="D97" s="359">
        <f t="shared" ca="1" si="37"/>
        <v>16.419960408995088</v>
      </c>
      <c r="E97" s="360">
        <f t="shared" ca="1" si="38"/>
        <v>71.946208872947437</v>
      </c>
      <c r="F97" s="357">
        <f t="shared" ca="1" si="39"/>
        <v>73.796152142389829</v>
      </c>
      <c r="G97" s="359">
        <f t="shared" ca="1" si="40"/>
        <v>13.512722619151269</v>
      </c>
      <c r="H97" s="360">
        <f t="shared" ca="1" si="41"/>
        <v>67.182754848367054</v>
      </c>
      <c r="I97" s="357">
        <f t="shared" ca="1" si="42"/>
        <v>68.528214784845446</v>
      </c>
      <c r="J97" s="359">
        <f t="shared" ca="1" si="43"/>
        <v>5.8690363232531855</v>
      </c>
      <c r="K97" s="360">
        <f t="shared" ca="1" si="44"/>
        <v>30.861507753159898</v>
      </c>
      <c r="L97" s="357">
        <f t="shared" ca="1" si="29"/>
        <v>31.414618383198828</v>
      </c>
      <c r="M97" s="359">
        <f t="shared" ca="1" si="45"/>
        <v>1.3723108149808936</v>
      </c>
      <c r="N97" s="357">
        <f t="shared" ca="1" si="46"/>
        <v>78.627617878563584</v>
      </c>
      <c r="O97" s="343"/>
      <c r="P97" s="363">
        <f t="shared" ca="1" si="47"/>
        <v>6</v>
      </c>
      <c r="Q97" s="357">
        <f t="shared" ca="1" si="48"/>
        <v>1016.2122807017544</v>
      </c>
      <c r="R97" s="359">
        <f t="shared" ca="1" si="49"/>
        <v>0.50905351530601761</v>
      </c>
      <c r="S97" s="360">
        <f t="shared" ca="1" si="50"/>
        <v>12.032742060012403</v>
      </c>
      <c r="T97" s="357">
        <f t="shared" ca="1" si="30"/>
        <v>118.04119960872168</v>
      </c>
      <c r="U97" s="364">
        <f t="shared" ca="1" si="31"/>
        <v>0</v>
      </c>
      <c r="V97" s="359">
        <f t="shared" ca="1" si="32"/>
        <v>1.2212252899623923</v>
      </c>
      <c r="W97" s="357">
        <f t="shared" ca="1" si="33"/>
        <v>13.095882462541445</v>
      </c>
      <c r="X97" s="343"/>
      <c r="Y97" s="367" t="str">
        <f t="shared" ca="1" si="51"/>
        <v/>
      </c>
      <c r="Z97" s="368" t="str">
        <f t="shared" ca="1" si="52"/>
        <v/>
      </c>
      <c r="AA97" s="369" t="str">
        <f t="shared" ca="1" si="53"/>
        <v/>
      </c>
      <c r="AB97" s="344"/>
      <c r="AC97" s="363" t="e">
        <f t="shared" ca="1" si="54"/>
        <v>#N/A</v>
      </c>
      <c r="AD97" s="376" t="e">
        <f t="shared" ca="1" si="55"/>
        <v>#N/A</v>
      </c>
      <c r="AE97" s="377">
        <f t="shared" ca="1" si="34"/>
        <v>30.861507753159898</v>
      </c>
      <c r="AF97" s="344"/>
      <c r="AG97" s="359">
        <f t="shared" ca="1" si="56"/>
        <v>73.770866300172059</v>
      </c>
      <c r="AH97" s="357">
        <f t="shared" ca="1" si="57"/>
        <v>83.388804938732491</v>
      </c>
    </row>
    <row r="98" spans="1:34" x14ac:dyDescent="0.25">
      <c r="A98" s="402">
        <f t="shared" ca="1" si="35"/>
        <v>0.01</v>
      </c>
      <c r="B98" s="357">
        <f t="shared" ca="1" si="36"/>
        <v>0.94000000000000061</v>
      </c>
      <c r="C98" s="342"/>
      <c r="D98" s="359">
        <f t="shared" ca="1" si="37"/>
        <v>16.437151557090591</v>
      </c>
      <c r="E98" s="360">
        <f t="shared" ca="1" si="38"/>
        <v>71.912474040900022</v>
      </c>
      <c r="F98" s="357">
        <f t="shared" ca="1" si="39"/>
        <v>73.767092080370659</v>
      </c>
      <c r="G98" s="359">
        <f t="shared" ca="1" si="40"/>
        <v>13.677094134722175</v>
      </c>
      <c r="H98" s="360">
        <f t="shared" ca="1" si="41"/>
        <v>67.901879588776055</v>
      </c>
      <c r="I98" s="357">
        <f t="shared" ca="1" si="42"/>
        <v>69.265634738004778</v>
      </c>
      <c r="J98" s="359">
        <f t="shared" ca="1" si="43"/>
        <v>6.004985407022553</v>
      </c>
      <c r="K98" s="360">
        <f t="shared" ca="1" si="44"/>
        <v>31.536930925345615</v>
      </c>
      <c r="L98" s="357">
        <f t="shared" ca="1" si="29"/>
        <v>32.10354905502777</v>
      </c>
      <c r="M98" s="359">
        <f t="shared" ca="1" si="45"/>
        <v>1.3720315447536986</v>
      </c>
      <c r="N98" s="357">
        <f t="shared" ca="1" si="46"/>
        <v>78.611616873201655</v>
      </c>
      <c r="O98" s="343"/>
      <c r="P98" s="363">
        <f t="shared" ca="1" si="47"/>
        <v>6</v>
      </c>
      <c r="Q98" s="357">
        <f t="shared" ca="1" si="48"/>
        <v>1015.7105263157895</v>
      </c>
      <c r="R98" s="359">
        <f t="shared" ca="1" si="49"/>
        <v>0.50880217034704978</v>
      </c>
      <c r="S98" s="360">
        <f t="shared" ca="1" si="50"/>
        <v>12.027654038308933</v>
      </c>
      <c r="T98" s="357">
        <f t="shared" ca="1" si="30"/>
        <v>117.99128611581064</v>
      </c>
      <c r="U98" s="364">
        <f t="shared" ca="1" si="31"/>
        <v>0</v>
      </c>
      <c r="V98" s="359">
        <f t="shared" ca="1" si="32"/>
        <v>1.2211428081612743</v>
      </c>
      <c r="W98" s="357">
        <f t="shared" ca="1" si="33"/>
        <v>13.378340199778455</v>
      </c>
      <c r="X98" s="343"/>
      <c r="Y98" s="367" t="str">
        <f t="shared" ca="1" si="51"/>
        <v/>
      </c>
      <c r="Z98" s="368" t="str">
        <f t="shared" ca="1" si="52"/>
        <v/>
      </c>
      <c r="AA98" s="369" t="str">
        <f t="shared" ca="1" si="53"/>
        <v/>
      </c>
      <c r="AB98" s="344"/>
      <c r="AC98" s="363" t="e">
        <f t="shared" ca="1" si="54"/>
        <v>#N/A</v>
      </c>
      <c r="AD98" s="376" t="e">
        <f t="shared" ca="1" si="55"/>
        <v>#N/A</v>
      </c>
      <c r="AE98" s="377">
        <f t="shared" ca="1" si="34"/>
        <v>31.536930925345615</v>
      </c>
      <c r="AF98" s="344"/>
      <c r="AG98" s="359">
        <f t="shared" ca="1" si="56"/>
        <v>73.74172520815155</v>
      </c>
      <c r="AH98" s="357">
        <f t="shared" ca="1" si="57"/>
        <v>83.359118965331817</v>
      </c>
    </row>
    <row r="99" spans="1:34" x14ac:dyDescent="0.25">
      <c r="A99" s="402">
        <f t="shared" ca="1" si="35"/>
        <v>0.01</v>
      </c>
      <c r="B99" s="357">
        <f t="shared" ca="1" si="36"/>
        <v>0.95000000000000062</v>
      </c>
      <c r="C99" s="342"/>
      <c r="D99" s="359">
        <f t="shared" ca="1" si="37"/>
        <v>16.454056191604419</v>
      </c>
      <c r="E99" s="360">
        <f t="shared" ca="1" si="38"/>
        <v>71.878502781660032</v>
      </c>
      <c r="F99" s="357">
        <f t="shared" ca="1" si="39"/>
        <v>73.737745607589503</v>
      </c>
      <c r="G99" s="359">
        <f t="shared" ca="1" si="40"/>
        <v>13.84163469663822</v>
      </c>
      <c r="H99" s="360">
        <f t="shared" ca="1" si="41"/>
        <v>68.620664616592649</v>
      </c>
      <c r="I99" s="357">
        <f t="shared" ca="1" si="42"/>
        <v>70.002760399130466</v>
      </c>
      <c r="J99" s="359">
        <f t="shared" ca="1" si="43"/>
        <v>6.1425790511793554</v>
      </c>
      <c r="K99" s="360">
        <f t="shared" ca="1" si="44"/>
        <v>32.219543646372458</v>
      </c>
      <c r="L99" s="357">
        <f t="shared" ca="1" si="29"/>
        <v>32.799851679245251</v>
      </c>
      <c r="M99" s="359">
        <f t="shared" ca="1" si="45"/>
        <v>1.3717548315612742</v>
      </c>
      <c r="N99" s="357">
        <f t="shared" ca="1" si="46"/>
        <v>78.59576237514014</v>
      </c>
      <c r="O99" s="343"/>
      <c r="P99" s="363">
        <f t="shared" ca="1" si="47"/>
        <v>6</v>
      </c>
      <c r="Q99" s="357">
        <f t="shared" ca="1" si="48"/>
        <v>1015.2087719298245</v>
      </c>
      <c r="R99" s="359">
        <f t="shared" ca="1" si="49"/>
        <v>0.50855082538808183</v>
      </c>
      <c r="S99" s="360">
        <f t="shared" ca="1" si="50"/>
        <v>12.022568530055052</v>
      </c>
      <c r="T99" s="357">
        <f t="shared" ca="1" si="30"/>
        <v>117.94139727984006</v>
      </c>
      <c r="U99" s="364">
        <f t="shared" ca="1" si="31"/>
        <v>0</v>
      </c>
      <c r="V99" s="359">
        <f t="shared" ca="1" si="32"/>
        <v>1.221059454032958</v>
      </c>
      <c r="W99" s="357">
        <f t="shared" ca="1" si="33"/>
        <v>13.663667488087343</v>
      </c>
      <c r="X99" s="343"/>
      <c r="Y99" s="367" t="str">
        <f t="shared" ca="1" si="51"/>
        <v/>
      </c>
      <c r="Z99" s="368" t="str">
        <f t="shared" ca="1" si="52"/>
        <v/>
      </c>
      <c r="AA99" s="369" t="str">
        <f t="shared" ca="1" si="53"/>
        <v/>
      </c>
      <c r="AB99" s="344"/>
      <c r="AC99" s="363" t="e">
        <f t="shared" ca="1" si="54"/>
        <v>#N/A</v>
      </c>
      <c r="AD99" s="376" t="e">
        <f t="shared" ca="1" si="55"/>
        <v>#N/A</v>
      </c>
      <c r="AE99" s="377">
        <f t="shared" ca="1" si="34"/>
        <v>32.219543646372458</v>
      </c>
      <c r="AF99" s="344"/>
      <c r="AG99" s="359">
        <f t="shared" ca="1" si="56"/>
        <v>73.712298106335652</v>
      </c>
      <c r="AH99" s="357">
        <f t="shared" ca="1" si="57"/>
        <v>83.329151272923426</v>
      </c>
    </row>
    <row r="100" spans="1:34" x14ac:dyDescent="0.25">
      <c r="A100" s="402">
        <f t="shared" ca="1" si="35"/>
        <v>0.01</v>
      </c>
      <c r="B100" s="357">
        <f t="shared" ca="1" si="36"/>
        <v>0.96000000000000063</v>
      </c>
      <c r="C100" s="342"/>
      <c r="D100" s="359">
        <f t="shared" ca="1" si="37"/>
        <v>16.470678666601085</v>
      </c>
      <c r="E100" s="360">
        <f t="shared" ca="1" si="38"/>
        <v>71.844294565583652</v>
      </c>
      <c r="F100" s="357">
        <f t="shared" ca="1" si="39"/>
        <v>73.708112968416046</v>
      </c>
      <c r="G100" s="359">
        <f t="shared" ca="1" si="40"/>
        <v>14.006341483304231</v>
      </c>
      <c r="H100" s="360">
        <f t="shared" ca="1" si="41"/>
        <v>69.339107562248486</v>
      </c>
      <c r="I100" s="357">
        <f t="shared" ca="1" si="42"/>
        <v>70.739588910849591</v>
      </c>
      <c r="J100" s="359">
        <f t="shared" ca="1" si="43"/>
        <v>6.2818189320790676</v>
      </c>
      <c r="K100" s="360">
        <f t="shared" ca="1" si="44"/>
        <v>32.909342507266665</v>
      </c>
      <c r="L100" s="357">
        <f t="shared" ca="1" si="29"/>
        <v>33.503523297647604</v>
      </c>
      <c r="M100" s="359">
        <f t="shared" ca="1" si="45"/>
        <v>1.3714806244593876</v>
      </c>
      <c r="N100" s="357">
        <f t="shared" ca="1" si="46"/>
        <v>78.580051465489532</v>
      </c>
      <c r="O100" s="343"/>
      <c r="P100" s="363">
        <f t="shared" ca="1" si="47"/>
        <v>6</v>
      </c>
      <c r="Q100" s="357">
        <f t="shared" ca="1" si="48"/>
        <v>1014.7070175438596</v>
      </c>
      <c r="R100" s="359">
        <f t="shared" ca="1" si="49"/>
        <v>0.50829948042911399</v>
      </c>
      <c r="S100" s="360">
        <f t="shared" ca="1" si="50"/>
        <v>12.017485535250762</v>
      </c>
      <c r="T100" s="357">
        <f t="shared" ca="1" si="30"/>
        <v>117.89153310080998</v>
      </c>
      <c r="U100" s="364">
        <f t="shared" ca="1" si="31"/>
        <v>0</v>
      </c>
      <c r="V100" s="359">
        <f t="shared" ca="1" si="32"/>
        <v>1.220975228172589</v>
      </c>
      <c r="W100" s="357">
        <f t="shared" ca="1" si="33"/>
        <v>13.951858367262187</v>
      </c>
      <c r="X100" s="343"/>
      <c r="Y100" s="367" t="str">
        <f t="shared" ca="1" si="51"/>
        <v/>
      </c>
      <c r="Z100" s="368" t="str">
        <f t="shared" ca="1" si="52"/>
        <v/>
      </c>
      <c r="AA100" s="369" t="str">
        <f t="shared" ca="1" si="53"/>
        <v/>
      </c>
      <c r="AB100" s="344"/>
      <c r="AC100" s="363" t="e">
        <f t="shared" ca="1" si="54"/>
        <v>#N/A</v>
      </c>
      <c r="AD100" s="376" t="e">
        <f t="shared" ca="1" si="55"/>
        <v>#N/A</v>
      </c>
      <c r="AE100" s="377">
        <f t="shared" ca="1" si="34"/>
        <v>32.909342507266665</v>
      </c>
      <c r="AF100" s="344"/>
      <c r="AG100" s="359">
        <f t="shared" ca="1" si="56"/>
        <v>73.682585228074515</v>
      </c>
      <c r="AH100" s="357">
        <f t="shared" ca="1" si="57"/>
        <v>83.298902014021365</v>
      </c>
    </row>
    <row r="101" spans="1:34" x14ac:dyDescent="0.25">
      <c r="A101" s="402">
        <f t="shared" ca="1" si="35"/>
        <v>0.01</v>
      </c>
      <c r="B101" s="357">
        <f t="shared" ca="1" si="36"/>
        <v>0.97000000000000064</v>
      </c>
      <c r="C101" s="342"/>
      <c r="D101" s="359">
        <f t="shared" ca="1" si="37"/>
        <v>16.487023204297092</v>
      </c>
      <c r="E101" s="360">
        <f t="shared" ca="1" si="38"/>
        <v>71.809848888216038</v>
      </c>
      <c r="F101" s="357">
        <f t="shared" ca="1" si="39"/>
        <v>73.678194409794358</v>
      </c>
      <c r="G101" s="359">
        <f t="shared" ca="1" si="40"/>
        <v>14.171211715347201</v>
      </c>
      <c r="H101" s="360">
        <f t="shared" ca="1" si="41"/>
        <v>70.057206051130649</v>
      </c>
      <c r="I101" s="357">
        <f t="shared" ca="1" si="42"/>
        <v>71.476117418140234</v>
      </c>
      <c r="J101" s="359">
        <f t="shared" ca="1" si="43"/>
        <v>6.4227066980723251</v>
      </c>
      <c r="K101" s="360">
        <f t="shared" ca="1" si="44"/>
        <v>33.606324075333561</v>
      </c>
      <c r="L101" s="357">
        <f t="shared" ca="1" si="29"/>
        <v>34.214560923469513</v>
      </c>
      <c r="M101" s="359">
        <f t="shared" ca="1" si="45"/>
        <v>1.3712088740306358</v>
      </c>
      <c r="N101" s="357">
        <f t="shared" ca="1" si="46"/>
        <v>78.564481312841181</v>
      </c>
      <c r="O101" s="343"/>
      <c r="P101" s="363">
        <f t="shared" ca="1" si="47"/>
        <v>6</v>
      </c>
      <c r="Q101" s="357">
        <f t="shared" ca="1" si="48"/>
        <v>1014.2052631578947</v>
      </c>
      <c r="R101" s="359">
        <f t="shared" ca="1" si="49"/>
        <v>0.50804813547014605</v>
      </c>
      <c r="S101" s="360">
        <f t="shared" ca="1" si="50"/>
        <v>12.01240505389606</v>
      </c>
      <c r="T101" s="357">
        <f t="shared" ca="1" si="30"/>
        <v>117.84169357872035</v>
      </c>
      <c r="U101" s="364">
        <f t="shared" ca="1" si="31"/>
        <v>0</v>
      </c>
      <c r="V101" s="359">
        <f t="shared" ca="1" si="32"/>
        <v>1.2208901311799456</v>
      </c>
      <c r="W101" s="357">
        <f t="shared" ca="1" si="33"/>
        <v>14.242906821988019</v>
      </c>
      <c r="X101" s="343"/>
      <c r="Y101" s="367" t="str">
        <f t="shared" ca="1" si="51"/>
        <v/>
      </c>
      <c r="Z101" s="368" t="str">
        <f t="shared" ca="1" si="52"/>
        <v/>
      </c>
      <c r="AA101" s="369" t="str">
        <f t="shared" ca="1" si="53"/>
        <v/>
      </c>
      <c r="AB101" s="344"/>
      <c r="AC101" s="363" t="e">
        <f t="shared" ca="1" si="54"/>
        <v>#N/A</v>
      </c>
      <c r="AD101" s="376" t="e">
        <f t="shared" ca="1" si="55"/>
        <v>#N/A</v>
      </c>
      <c r="AE101" s="377">
        <f t="shared" ca="1" si="34"/>
        <v>33.606324075333561</v>
      </c>
      <c r="AF101" s="344"/>
      <c r="AG101" s="359">
        <f t="shared" ca="1" si="56"/>
        <v>73.652586809594354</v>
      </c>
      <c r="AH101" s="357">
        <f t="shared" ca="1" si="57"/>
        <v>83.268371346353661</v>
      </c>
    </row>
    <row r="102" spans="1:34" x14ac:dyDescent="0.25">
      <c r="A102" s="402">
        <f t="shared" ca="1" si="35"/>
        <v>0.01</v>
      </c>
      <c r="B102" s="357">
        <f t="shared" ca="1" si="36"/>
        <v>0.98000000000000065</v>
      </c>
      <c r="C102" s="342"/>
      <c r="D102" s="359">
        <f t="shared" ca="1" si="37"/>
        <v>16.503093900459422</v>
      </c>
      <c r="E102" s="360">
        <f t="shared" ca="1" si="38"/>
        <v>71.775165269497677</v>
      </c>
      <c r="F102" s="357">
        <f t="shared" ca="1" si="39"/>
        <v>73.647990181342266</v>
      </c>
      <c r="G102" s="359">
        <f t="shared" ca="1" si="40"/>
        <v>14.336242654351796</v>
      </c>
      <c r="H102" s="360">
        <f t="shared" ca="1" si="41"/>
        <v>70.774957703825621</v>
      </c>
      <c r="I102" s="357">
        <f t="shared" ca="1" si="42"/>
        <v>72.212343068361662</v>
      </c>
      <c r="J102" s="359">
        <f t="shared" ca="1" si="43"/>
        <v>6.5652439699208198</v>
      </c>
      <c r="K102" s="360">
        <f t="shared" ca="1" si="44"/>
        <v>34.310484894108342</v>
      </c>
      <c r="L102" s="357">
        <f t="shared" ca="1" si="29"/>
        <v>34.932961541406968</v>
      </c>
      <c r="M102" s="359">
        <f t="shared" ca="1" si="45"/>
        <v>1.3709395323233635</v>
      </c>
      <c r="N102" s="357">
        <f t="shared" ca="1" si="46"/>
        <v>78.549049169767628</v>
      </c>
      <c r="O102" s="343"/>
      <c r="P102" s="363">
        <f t="shared" ca="1" si="47"/>
        <v>6</v>
      </c>
      <c r="Q102" s="357">
        <f t="shared" ca="1" si="48"/>
        <v>1013.7035087719298</v>
      </c>
      <c r="R102" s="359">
        <f t="shared" ca="1" si="49"/>
        <v>0.50779679051117821</v>
      </c>
      <c r="S102" s="360">
        <f t="shared" ca="1" si="50"/>
        <v>12.007327085990948</v>
      </c>
      <c r="T102" s="357">
        <f t="shared" ca="1" si="30"/>
        <v>117.79187871357121</v>
      </c>
      <c r="U102" s="364">
        <f t="shared" ca="1" si="31"/>
        <v>0</v>
      </c>
      <c r="V102" s="359">
        <f t="shared" ca="1" si="32"/>
        <v>1.2208041636594409</v>
      </c>
      <c r="W102" s="357">
        <f t="shared" ca="1" si="33"/>
        <v>14.536806782018253</v>
      </c>
      <c r="X102" s="343"/>
      <c r="Y102" s="367" t="str">
        <f t="shared" ca="1" si="51"/>
        <v/>
      </c>
      <c r="Z102" s="368" t="str">
        <f t="shared" ca="1" si="52"/>
        <v/>
      </c>
      <c r="AA102" s="369" t="str">
        <f t="shared" ca="1" si="53"/>
        <v/>
      </c>
      <c r="AB102" s="344"/>
      <c r="AC102" s="363" t="e">
        <f t="shared" ca="1" si="54"/>
        <v>#N/A</v>
      </c>
      <c r="AD102" s="376" t="e">
        <f t="shared" ca="1" si="55"/>
        <v>#N/A</v>
      </c>
      <c r="AE102" s="377">
        <f t="shared" ca="1" si="34"/>
        <v>34.310484894108342</v>
      </c>
      <c r="AF102" s="344"/>
      <c r="AG102" s="359">
        <f t="shared" ca="1" si="56"/>
        <v>73.622303090084941</v>
      </c>
      <c r="AH102" s="357">
        <f t="shared" ca="1" si="57"/>
        <v>83.237559432858376</v>
      </c>
    </row>
    <row r="103" spans="1:34" x14ac:dyDescent="0.25">
      <c r="A103" s="402">
        <f t="shared" ca="1" si="35"/>
        <v>0.01</v>
      </c>
      <c r="B103" s="357">
        <f t="shared" ca="1" si="36"/>
        <v>0.99000000000000066</v>
      </c>
      <c r="C103" s="342"/>
      <c r="D103" s="359">
        <f t="shared" ca="1" si="37"/>
        <v>16.518894729531755</v>
      </c>
      <c r="E103" s="360">
        <f t="shared" ca="1" si="38"/>
        <v>71.740243253009368</v>
      </c>
      <c r="F103" s="357">
        <f t="shared" ca="1" si="39"/>
        <v>73.61750053544543</v>
      </c>
      <c r="G103" s="359">
        <f t="shared" ca="1" si="40"/>
        <v>14.501431601647115</v>
      </c>
      <c r="H103" s="360">
        <f t="shared" ca="1" si="41"/>
        <v>71.492360136355714</v>
      </c>
      <c r="I103" s="357">
        <f t="shared" ca="1" si="42"/>
        <v>72.94826301128515</v>
      </c>
      <c r="J103" s="359">
        <f t="shared" ca="1" si="43"/>
        <v>6.7094323412008148</v>
      </c>
      <c r="K103" s="360">
        <f t="shared" ca="1" si="44"/>
        <v>35.021821483309246</v>
      </c>
      <c r="L103" s="357">
        <f t="shared" ca="1" si="29"/>
        <v>35.658722107640543</v>
      </c>
      <c r="M103" s="359">
        <f t="shared" ca="1" si="45"/>
        <v>1.370672552793623</v>
      </c>
      <c r="N103" s="357">
        <f t="shared" ca="1" si="46"/>
        <v>78.533752369497108</v>
      </c>
      <c r="O103" s="343"/>
      <c r="P103" s="363">
        <f t="shared" ca="1" si="47"/>
        <v>6</v>
      </c>
      <c r="Q103" s="357">
        <f t="shared" ca="1" si="48"/>
        <v>1013.2017543859648</v>
      </c>
      <c r="R103" s="359">
        <f t="shared" ca="1" si="49"/>
        <v>0.50754544555221026</v>
      </c>
      <c r="S103" s="360">
        <f t="shared" ca="1" si="50"/>
        <v>12.002251631535426</v>
      </c>
      <c r="T103" s="357">
        <f t="shared" ca="1" si="30"/>
        <v>117.74208850536253</v>
      </c>
      <c r="U103" s="364">
        <f t="shared" ca="1" si="31"/>
        <v>0</v>
      </c>
      <c r="V103" s="359">
        <f t="shared" ca="1" si="32"/>
        <v>1.2207173262201243</v>
      </c>
      <c r="W103" s="357">
        <f t="shared" ca="1" si="33"/>
        <v>14.833552122354007</v>
      </c>
      <c r="X103" s="343"/>
      <c r="Y103" s="367" t="str">
        <f t="shared" ca="1" si="51"/>
        <v/>
      </c>
      <c r="Z103" s="368" t="str">
        <f t="shared" ca="1" si="52"/>
        <v/>
      </c>
      <c r="AA103" s="369" t="str">
        <f t="shared" ca="1" si="53"/>
        <v/>
      </c>
      <c r="AB103" s="344"/>
      <c r="AC103" s="363" t="e">
        <f t="shared" ca="1" si="54"/>
        <v>#N/A</v>
      </c>
      <c r="AD103" s="376" t="e">
        <f t="shared" ca="1" si="55"/>
        <v>#N/A</v>
      </c>
      <c r="AE103" s="377">
        <f t="shared" ca="1" si="34"/>
        <v>35.021821483309246</v>
      </c>
      <c r="AF103" s="344"/>
      <c r="AG103" s="359">
        <f t="shared" ca="1" si="56"/>
        <v>73.591734311782488</v>
      </c>
      <c r="AH103" s="357">
        <f t="shared" ca="1" si="57"/>
        <v>83.206466441679595</v>
      </c>
    </row>
    <row r="104" spans="1:34" x14ac:dyDescent="0.25">
      <c r="A104" s="402">
        <f t="shared" ca="1" si="35"/>
        <v>0.01</v>
      </c>
      <c r="B104" s="357">
        <f t="shared" ca="1" si="36"/>
        <v>1.0000000000000007</v>
      </c>
      <c r="C104" s="342"/>
      <c r="D104" s="359">
        <f t="shared" ca="1" si="37"/>
        <v>16.534429549504946</v>
      </c>
      <c r="E104" s="360">
        <f t="shared" ca="1" si="38"/>
        <v>71.705082405253364</v>
      </c>
      <c r="F104" s="357">
        <f t="shared" ca="1" si="39"/>
        <v>73.58672572734649</v>
      </c>
      <c r="G104" s="359">
        <f t="shared" ca="1" si="40"/>
        <v>14.666775897142164</v>
      </c>
      <c r="H104" s="360">
        <f t="shared" ca="1" si="41"/>
        <v>72.209410960408249</v>
      </c>
      <c r="I104" s="357">
        <f t="shared" ca="1" si="42"/>
        <v>73.6838743991256</v>
      </c>
      <c r="J104" s="359">
        <f t="shared" ca="1" si="43"/>
        <v>6.8552733786947613</v>
      </c>
      <c r="K104" s="360">
        <f t="shared" ca="1" si="44"/>
        <v>35.740330338793065</v>
      </c>
      <c r="L104" s="357">
        <f t="shared" ca="1" si="29"/>
        <v>36.391839549859156</v>
      </c>
      <c r="M104" s="359">
        <f t="shared" ca="1" si="45"/>
        <v>1.370407890249997</v>
      </c>
      <c r="N104" s="357">
        <f t="shared" ca="1" si="46"/>
        <v>78.518588322752151</v>
      </c>
      <c r="O104" s="343"/>
      <c r="P104" s="363">
        <f t="shared" ca="1" si="47"/>
        <v>6</v>
      </c>
      <c r="Q104" s="357">
        <f t="shared" ca="1" si="48"/>
        <v>1012.6999999999999</v>
      </c>
      <c r="R104" s="359">
        <f t="shared" ca="1" si="49"/>
        <v>0.50729410059324243</v>
      </c>
      <c r="S104" s="360">
        <f t="shared" ca="1" si="50"/>
        <v>11.997178690529493</v>
      </c>
      <c r="T104" s="357">
        <f t="shared" ca="1" si="30"/>
        <v>117.69232295409434</v>
      </c>
      <c r="U104" s="364">
        <f t="shared" ca="1" si="31"/>
        <v>0</v>
      </c>
      <c r="V104" s="359">
        <f t="shared" ca="1" si="32"/>
        <v>1.22062961947568</v>
      </c>
      <c r="W104" s="357">
        <f t="shared" ca="1" si="33"/>
        <v>15.133136663425464</v>
      </c>
      <c r="X104" s="343"/>
      <c r="Y104" s="367" t="str">
        <f t="shared" ca="1" si="51"/>
        <v/>
      </c>
      <c r="Z104" s="368" t="str">
        <f t="shared" ca="1" si="52"/>
        <v/>
      </c>
      <c r="AA104" s="369" t="str">
        <f t="shared" ca="1" si="53"/>
        <v/>
      </c>
      <c r="AB104" s="344"/>
      <c r="AC104" s="363">
        <f t="shared" ca="1" si="54"/>
        <v>1.0000000000000007</v>
      </c>
      <c r="AD104" s="376">
        <f t="shared" ca="1" si="55"/>
        <v>6.8552733786947613</v>
      </c>
      <c r="AE104" s="377">
        <f t="shared" ca="1" si="34"/>
        <v>35.740330338793065</v>
      </c>
      <c r="AF104" s="344"/>
      <c r="AG104" s="359">
        <f t="shared" ca="1" si="56"/>
        <v>73.56088072004799</v>
      </c>
      <c r="AH104" s="357">
        <f t="shared" ca="1" si="57"/>
        <v>83.175092546163057</v>
      </c>
    </row>
    <row r="105" spans="1:34" x14ac:dyDescent="0.25">
      <c r="A105" s="402">
        <f t="shared" ca="1" si="35"/>
        <v>0.01</v>
      </c>
      <c r="B105" s="357">
        <f t="shared" ca="1" si="36"/>
        <v>1.0100000000000007</v>
      </c>
      <c r="C105" s="342"/>
      <c r="D105" s="359">
        <f t="shared" ca="1" si="37"/>
        <v>16.54970210654697</v>
      </c>
      <c r="E105" s="360">
        <f t="shared" ca="1" si="38"/>
        <v>71.669682314968725</v>
      </c>
      <c r="F105" s="357">
        <f t="shared" ca="1" si="39"/>
        <v>73.555666015229491</v>
      </c>
      <c r="G105" s="359">
        <f t="shared" ca="1" si="40"/>
        <v>14.832272918207634</v>
      </c>
      <c r="H105" s="360">
        <f t="shared" ca="1" si="41"/>
        <v>72.926107783557939</v>
      </c>
      <c r="I105" s="357">
        <f t="shared" ca="1" si="42"/>
        <v>74.419174386573957</v>
      </c>
      <c r="J105" s="359">
        <f t="shared" ca="1" si="43"/>
        <v>7.0027686227715105</v>
      </c>
      <c r="K105" s="360">
        <f t="shared" ca="1" si="44"/>
        <v>36.466007932512895</v>
      </c>
      <c r="L105" s="357">
        <f t="shared" ca="1" si="29"/>
        <v>37.132310767284153</v>
      </c>
      <c r="M105" s="359">
        <f t="shared" ca="1" si="45"/>
        <v>1.3701455008011176</v>
      </c>
      <c r="N105" s="357">
        <f t="shared" ca="1" si="46"/>
        <v>78.503554514742589</v>
      </c>
      <c r="O105" s="343"/>
      <c r="P105" s="363">
        <f t="shared" ca="1" si="47"/>
        <v>6</v>
      </c>
      <c r="Q105" s="357">
        <f t="shared" ca="1" si="48"/>
        <v>1012.198245614035</v>
      </c>
      <c r="R105" s="359">
        <f t="shared" ca="1" si="49"/>
        <v>0.50704275563427448</v>
      </c>
      <c r="S105" s="360">
        <f t="shared" ca="1" si="50"/>
        <v>11.992108262973151</v>
      </c>
      <c r="T105" s="357">
        <f t="shared" ca="1" si="30"/>
        <v>117.64258205976661</v>
      </c>
      <c r="U105" s="364">
        <f t="shared" ca="1" si="31"/>
        <v>0</v>
      </c>
      <c r="V105" s="359">
        <f t="shared" ca="1" si="32"/>
        <v>1.2205410440444298</v>
      </c>
      <c r="W105" s="357">
        <f t="shared" ca="1" si="33"/>
        <v>15.435554171275287</v>
      </c>
      <c r="X105" s="343"/>
      <c r="Y105" s="367" t="str">
        <f t="shared" ca="1" si="51"/>
        <v/>
      </c>
      <c r="Z105" s="368" t="str">
        <f t="shared" ca="1" si="52"/>
        <v/>
      </c>
      <c r="AA105" s="369" t="str">
        <f t="shared" ca="1" si="53"/>
        <v/>
      </c>
      <c r="AB105" s="344"/>
      <c r="AC105" s="363" t="e">
        <f t="shared" ca="1" si="54"/>
        <v>#N/A</v>
      </c>
      <c r="AD105" s="376" t="e">
        <f t="shared" ca="1" si="55"/>
        <v>#N/A</v>
      </c>
      <c r="AE105" s="377">
        <f t="shared" ca="1" si="34"/>
        <v>36.466007932512895</v>
      </c>
      <c r="AF105" s="344"/>
      <c r="AG105" s="359">
        <f t="shared" ca="1" si="56"/>
        <v>73.52974256344153</v>
      </c>
      <c r="AH105" s="357">
        <f t="shared" ca="1" si="57"/>
        <v>83.143437924851725</v>
      </c>
    </row>
    <row r="106" spans="1:34" x14ac:dyDescent="0.25">
      <c r="A106" s="402">
        <f t="shared" ca="1" si="35"/>
        <v>0.01</v>
      </c>
      <c r="B106" s="357">
        <f t="shared" ca="1" si="36"/>
        <v>1.0200000000000007</v>
      </c>
      <c r="C106" s="342"/>
      <c r="D106" s="359">
        <f t="shared" ca="1" si="37"/>
        <v>16.564716039406289</v>
      </c>
      <c r="E106" s="360">
        <f t="shared" ca="1" si="38"/>
        <v>71.634042592478892</v>
      </c>
      <c r="F106" s="357">
        <f t="shared" ca="1" si="39"/>
        <v>73.52432166029989</v>
      </c>
      <c r="G106" s="359">
        <f t="shared" ca="1" si="40"/>
        <v>14.997920078601696</v>
      </c>
      <c r="H106" s="360">
        <f t="shared" ca="1" si="41"/>
        <v>73.642448209482723</v>
      </c>
      <c r="I106" s="357">
        <f t="shared" ca="1" si="42"/>
        <v>75.154160130830206</v>
      </c>
      <c r="J106" s="359">
        <f t="shared" ca="1" si="43"/>
        <v>7.1519195877555575</v>
      </c>
      <c r="K106" s="360">
        <f t="shared" ca="1" si="44"/>
        <v>37.198850712478098</v>
      </c>
      <c r="L106" s="357">
        <f t="shared" ca="1" si="29"/>
        <v>37.880132630693808</v>
      </c>
      <c r="M106" s="359">
        <f t="shared" ca="1" si="45"/>
        <v>1.3698853418057193</v>
      </c>
      <c r="N106" s="357">
        <f t="shared" ca="1" si="46"/>
        <v>78.488648502303903</v>
      </c>
      <c r="O106" s="343"/>
      <c r="P106" s="363">
        <f t="shared" ca="1" si="47"/>
        <v>6</v>
      </c>
      <c r="Q106" s="357">
        <f t="shared" ca="1" si="48"/>
        <v>1011.6964912280702</v>
      </c>
      <c r="R106" s="359">
        <f t="shared" ca="1" si="49"/>
        <v>0.50679141067530664</v>
      </c>
      <c r="S106" s="360">
        <f t="shared" ca="1" si="50"/>
        <v>11.987040348866397</v>
      </c>
      <c r="T106" s="357">
        <f t="shared" ca="1" si="30"/>
        <v>117.59286582237937</v>
      </c>
      <c r="U106" s="364">
        <f t="shared" ca="1" si="31"/>
        <v>0</v>
      </c>
      <c r="V106" s="359">
        <f t="shared" ca="1" si="32"/>
        <v>1.2204516005493291</v>
      </c>
      <c r="W106" s="357">
        <f t="shared" ca="1" si="33"/>
        <v>15.740798357743946</v>
      </c>
      <c r="X106" s="343"/>
      <c r="Y106" s="367" t="str">
        <f t="shared" ca="1" si="51"/>
        <v/>
      </c>
      <c r="Z106" s="368" t="str">
        <f t="shared" ca="1" si="52"/>
        <v/>
      </c>
      <c r="AA106" s="369" t="str">
        <f t="shared" ca="1" si="53"/>
        <v/>
      </c>
      <c r="AB106" s="344"/>
      <c r="AC106" s="363" t="e">
        <f t="shared" ca="1" si="54"/>
        <v>#N/A</v>
      </c>
      <c r="AD106" s="376" t="e">
        <f t="shared" ca="1" si="55"/>
        <v>#N/A</v>
      </c>
      <c r="AE106" s="377">
        <f t="shared" ca="1" si="34"/>
        <v>37.198850712478098</v>
      </c>
      <c r="AF106" s="344"/>
      <c r="AG106" s="359">
        <f t="shared" ca="1" si="56"/>
        <v>73.498320093792557</v>
      </c>
      <c r="AH106" s="357">
        <f t="shared" ca="1" si="57"/>
        <v>83.111502761481091</v>
      </c>
    </row>
    <row r="107" spans="1:34" x14ac:dyDescent="0.25">
      <c r="A107" s="402">
        <f t="shared" ca="1" si="35"/>
        <v>0.01</v>
      </c>
      <c r="B107" s="357">
        <f t="shared" ca="1" si="36"/>
        <v>1.0300000000000007</v>
      </c>
      <c r="C107" s="342"/>
      <c r="D107" s="359">
        <f t="shared" ca="1" si="37"/>
        <v>16.57947488360222</v>
      </c>
      <c r="E107" s="360">
        <f t="shared" ca="1" si="38"/>
        <v>71.598162869069554</v>
      </c>
      <c r="F107" s="357">
        <f t="shared" ca="1" si="39"/>
        <v>73.492692926860471</v>
      </c>
      <c r="G107" s="359">
        <f t="shared" ca="1" si="40"/>
        <v>15.163714827437719</v>
      </c>
      <c r="H107" s="360">
        <f t="shared" ca="1" si="41"/>
        <v>74.358429838173421</v>
      </c>
      <c r="I107" s="357">
        <f t="shared" ca="1" si="42"/>
        <v>75.888828791637138</v>
      </c>
      <c r="J107" s="359">
        <f t="shared" ca="1" si="43"/>
        <v>7.3027277622857545</v>
      </c>
      <c r="K107" s="360">
        <f t="shared" ca="1" si="44"/>
        <v>37.938855102716381</v>
      </c>
      <c r="L107" s="357">
        <f t="shared" ca="1" si="29"/>
        <v>38.635301982448226</v>
      </c>
      <c r="M107" s="359">
        <f t="shared" ca="1" si="45"/>
        <v>1.3696273718250853</v>
      </c>
      <c r="N107" s="357">
        <f t="shared" ca="1" si="46"/>
        <v>78.473867911172505</v>
      </c>
      <c r="O107" s="343"/>
      <c r="P107" s="363">
        <f t="shared" ca="1" si="47"/>
        <v>6</v>
      </c>
      <c r="Q107" s="357">
        <f t="shared" ca="1" si="48"/>
        <v>1011.1947368421052</v>
      </c>
      <c r="R107" s="359">
        <f t="shared" ca="1" si="49"/>
        <v>0.50654006571633869</v>
      </c>
      <c r="S107" s="360">
        <f t="shared" ca="1" si="50"/>
        <v>11.981974948209235</v>
      </c>
      <c r="T107" s="357">
        <f t="shared" ca="1" si="30"/>
        <v>117.5431742419326</v>
      </c>
      <c r="U107" s="364">
        <f t="shared" ca="1" si="31"/>
        <v>0</v>
      </c>
      <c r="V107" s="359">
        <f t="shared" ca="1" si="32"/>
        <v>1.2203612896179699</v>
      </c>
      <c r="W107" s="357">
        <f t="shared" ca="1" si="33"/>
        <v>16.048862880657154</v>
      </c>
      <c r="X107" s="343"/>
      <c r="Y107" s="367" t="str">
        <f t="shared" ca="1" si="51"/>
        <v/>
      </c>
      <c r="Z107" s="368" t="str">
        <f t="shared" ca="1" si="52"/>
        <v/>
      </c>
      <c r="AA107" s="369" t="str">
        <f t="shared" ca="1" si="53"/>
        <v/>
      </c>
      <c r="AB107" s="344"/>
      <c r="AC107" s="363" t="e">
        <f t="shared" ca="1" si="54"/>
        <v>#N/A</v>
      </c>
      <c r="AD107" s="376" t="e">
        <f t="shared" ca="1" si="55"/>
        <v>#N/A</v>
      </c>
      <c r="AE107" s="377">
        <f t="shared" ca="1" si="34"/>
        <v>37.938855102716381</v>
      </c>
      <c r="AF107" s="344"/>
      <c r="AG107" s="359">
        <f t="shared" ca="1" si="56"/>
        <v>73.466613566266474</v>
      </c>
      <c r="AH107" s="357">
        <f t="shared" ca="1" si="57"/>
        <v>83.07928724497431</v>
      </c>
    </row>
    <row r="108" spans="1:34" x14ac:dyDescent="0.25">
      <c r="A108" s="402">
        <f t="shared" ca="1" si="35"/>
        <v>0.01</v>
      </c>
      <c r="B108" s="357">
        <f t="shared" ca="1" si="36"/>
        <v>1.0400000000000007</v>
      </c>
      <c r="C108" s="342"/>
      <c r="D108" s="359">
        <f t="shared" ca="1" si="37"/>
        <v>16.593982075414207</v>
      </c>
      <c r="E108" s="360">
        <f t="shared" ca="1" si="38"/>
        <v>71.562042796395204</v>
      </c>
      <c r="F108" s="357">
        <f t="shared" ca="1" si="39"/>
        <v>73.460780082383195</v>
      </c>
      <c r="G108" s="359">
        <f t="shared" ca="1" si="40"/>
        <v>15.329654648191861</v>
      </c>
      <c r="H108" s="360">
        <f t="shared" ca="1" si="41"/>
        <v>75.074050266137377</v>
      </c>
      <c r="I108" s="357">
        <f t="shared" ca="1" si="42"/>
        <v>76.623177531314582</v>
      </c>
      <c r="J108" s="359">
        <f t="shared" ca="1" si="43"/>
        <v>7.4551946096639021</v>
      </c>
      <c r="K108" s="360">
        <f t="shared" ca="1" si="44"/>
        <v>38.686017503237935</v>
      </c>
      <c r="L108" s="357">
        <f t="shared" ca="1" si="29"/>
        <v>39.397815636514586</v>
      </c>
      <c r="M108" s="359">
        <f t="shared" ca="1" si="45"/>
        <v>1.3693715505777464</v>
      </c>
      <c r="N108" s="357">
        <f t="shared" ca="1" si="46"/>
        <v>78.459210433390211</v>
      </c>
      <c r="O108" s="343"/>
      <c r="P108" s="363">
        <f t="shared" ca="1" si="47"/>
        <v>6</v>
      </c>
      <c r="Q108" s="357">
        <f t="shared" ca="1" si="48"/>
        <v>1010.6929824561403</v>
      </c>
      <c r="R108" s="359">
        <f t="shared" ca="1" si="49"/>
        <v>0.50628872075737075</v>
      </c>
      <c r="S108" s="360">
        <f t="shared" ca="1" si="50"/>
        <v>11.976912061001661</v>
      </c>
      <c r="T108" s="357">
        <f t="shared" ca="1" si="30"/>
        <v>117.4935073184263</v>
      </c>
      <c r="U108" s="364">
        <f t="shared" ca="1" si="31"/>
        <v>0</v>
      </c>
      <c r="V108" s="359">
        <f t="shared" ca="1" si="32"/>
        <v>1.2202701118825783</v>
      </c>
      <c r="W108" s="357">
        <f t="shared" ca="1" si="33"/>
        <v>16.359741344015212</v>
      </c>
      <c r="X108" s="343"/>
      <c r="Y108" s="367" t="str">
        <f t="shared" ca="1" si="51"/>
        <v/>
      </c>
      <c r="Z108" s="368" t="str">
        <f t="shared" ca="1" si="52"/>
        <v/>
      </c>
      <c r="AA108" s="369" t="str">
        <f t="shared" ca="1" si="53"/>
        <v/>
      </c>
      <c r="AB108" s="344"/>
      <c r="AC108" s="363" t="e">
        <f t="shared" ca="1" si="54"/>
        <v>#N/A</v>
      </c>
      <c r="AD108" s="376" t="e">
        <f t="shared" ca="1" si="55"/>
        <v>#N/A</v>
      </c>
      <c r="AE108" s="377">
        <f t="shared" ca="1" si="34"/>
        <v>38.686017503237935</v>
      </c>
      <c r="AF108" s="344"/>
      <c r="AG108" s="359">
        <f t="shared" ca="1" si="56"/>
        <v>73.434623239427765</v>
      </c>
      <c r="AH108" s="357">
        <f t="shared" ca="1" si="57"/>
        <v>83.046791569437175</v>
      </c>
    </row>
    <row r="109" spans="1:34" x14ac:dyDescent="0.25">
      <c r="A109" s="402">
        <f t="shared" ca="1" si="35"/>
        <v>0.01</v>
      </c>
      <c r="B109" s="357">
        <f t="shared" ca="1" si="36"/>
        <v>1.0500000000000007</v>
      </c>
      <c r="C109" s="342"/>
      <c r="D109" s="359">
        <f t="shared" ca="1" si="37"/>
        <v>16.608240955681826</v>
      </c>
      <c r="E109" s="360">
        <f t="shared" ca="1" si="38"/>
        <v>71.525682045912561</v>
      </c>
      <c r="F109" s="357">
        <f t="shared" ca="1" si="39"/>
        <v>73.428583397577299</v>
      </c>
      <c r="G109" s="359">
        <f t="shared" ca="1" si="40"/>
        <v>15.495737057748679</v>
      </c>
      <c r="H109" s="360">
        <f t="shared" ca="1" si="41"/>
        <v>75.789307086596509</v>
      </c>
      <c r="I109" s="357">
        <f t="shared" ca="1" si="42"/>
        <v>77.357203514794364</v>
      </c>
      <c r="J109" s="359">
        <f t="shared" ca="1" si="43"/>
        <v>7.6093215681936046</v>
      </c>
      <c r="K109" s="360">
        <f t="shared" ca="1" si="44"/>
        <v>39.440334290001601</v>
      </c>
      <c r="L109" s="357">
        <f t="shared" ca="1" si="29"/>
        <v>40.167670378492858</v>
      </c>
      <c r="M109" s="359">
        <f t="shared" ca="1" si="45"/>
        <v>1.3691178388963079</v>
      </c>
      <c r="N109" s="357">
        <f t="shared" ca="1" si="46"/>
        <v>78.444673824830616</v>
      </c>
      <c r="O109" s="343"/>
      <c r="P109" s="363">
        <f t="shared" ca="1" si="47"/>
        <v>6</v>
      </c>
      <c r="Q109" s="357">
        <f t="shared" ca="1" si="48"/>
        <v>1010.1912280701754</v>
      </c>
      <c r="R109" s="359">
        <f t="shared" ca="1" si="49"/>
        <v>0.50603737579840291</v>
      </c>
      <c r="S109" s="360">
        <f t="shared" ca="1" si="50"/>
        <v>11.971851687243676</v>
      </c>
      <c r="T109" s="357">
        <f t="shared" ca="1" si="30"/>
        <v>117.44386505186047</v>
      </c>
      <c r="U109" s="364">
        <f t="shared" ca="1" si="31"/>
        <v>0</v>
      </c>
      <c r="V109" s="359">
        <f t="shared" ca="1" si="32"/>
        <v>1.2201780679800147</v>
      </c>
      <c r="W109" s="357">
        <f t="shared" ca="1" si="33"/>
        <v>16.673427298184436</v>
      </c>
      <c r="X109" s="343"/>
      <c r="Y109" s="367" t="str">
        <f t="shared" ca="1" si="51"/>
        <v/>
      </c>
      <c r="Z109" s="368" t="str">
        <f t="shared" ca="1" si="52"/>
        <v/>
      </c>
      <c r="AA109" s="369" t="str">
        <f t="shared" ca="1" si="53"/>
        <v/>
      </c>
      <c r="AB109" s="344"/>
      <c r="AC109" s="363" t="e">
        <f t="shared" ca="1" si="54"/>
        <v>#N/A</v>
      </c>
      <c r="AD109" s="376" t="e">
        <f t="shared" ca="1" si="55"/>
        <v>#N/A</v>
      </c>
      <c r="AE109" s="377">
        <f t="shared" ca="1" si="34"/>
        <v>39.440334290001601</v>
      </c>
      <c r="AF109" s="344"/>
      <c r="AG109" s="359">
        <f t="shared" ca="1" si="56"/>
        <v>73.402349375299579</v>
      </c>
      <c r="AH109" s="357">
        <f t="shared" ca="1" si="57"/>
        <v>83.014015934152766</v>
      </c>
    </row>
    <row r="110" spans="1:34" x14ac:dyDescent="0.25">
      <c r="A110" s="402">
        <f t="shared" ca="1" si="35"/>
        <v>0.01</v>
      </c>
      <c r="B110" s="357">
        <f t="shared" ca="1" si="36"/>
        <v>1.0600000000000007</v>
      </c>
      <c r="C110" s="342"/>
      <c r="D110" s="359">
        <f t="shared" ca="1" si="37"/>
        <v>16.622254773425947</v>
      </c>
      <c r="E110" s="360">
        <f t="shared" ca="1" si="38"/>
        <v>71.489080308339567</v>
      </c>
      <c r="F110" s="357">
        <f t="shared" ca="1" si="39"/>
        <v>73.396103146453939</v>
      </c>
      <c r="G110" s="359">
        <f t="shared" ca="1" si="40"/>
        <v>15.661959605482938</v>
      </c>
      <c r="H110" s="360">
        <f t="shared" ca="1" si="41"/>
        <v>76.504197889679901</v>
      </c>
      <c r="I110" s="357">
        <f t="shared" ca="1" si="42"/>
        <v>78.090903909655722</v>
      </c>
      <c r="J110" s="359">
        <f t="shared" ca="1" si="43"/>
        <v>7.7651100515097626</v>
      </c>
      <c r="K110" s="360">
        <f t="shared" ca="1" si="44"/>
        <v>40.201801814882984</v>
      </c>
      <c r="L110" s="357">
        <f t="shared" ca="1" si="29"/>
        <v>40.944862965641818</v>
      </c>
      <c r="M110" s="359">
        <f t="shared" ca="1" si="45"/>
        <v>1.3688661986862831</v>
      </c>
      <c r="N110" s="357">
        <f t="shared" ca="1" si="46"/>
        <v>78.430255902840415</v>
      </c>
      <c r="O110" s="343"/>
      <c r="P110" s="363">
        <f t="shared" ca="1" si="47"/>
        <v>6</v>
      </c>
      <c r="Q110" s="357">
        <f t="shared" ca="1" si="48"/>
        <v>1009.6894736842105</v>
      </c>
      <c r="R110" s="359">
        <f t="shared" ca="1" si="49"/>
        <v>0.50578603083943507</v>
      </c>
      <c r="S110" s="360">
        <f t="shared" ca="1" si="50"/>
        <v>11.966793826935282</v>
      </c>
      <c r="T110" s="357">
        <f t="shared" ca="1" si="30"/>
        <v>117.39424744223513</v>
      </c>
      <c r="U110" s="364">
        <f t="shared" ca="1" si="31"/>
        <v>0</v>
      </c>
      <c r="V110" s="359">
        <f t="shared" ca="1" si="32"/>
        <v>1.2200851585517694</v>
      </c>
      <c r="W110" s="357">
        <f t="shared" ca="1" si="33"/>
        <v>16.989914240090449</v>
      </c>
      <c r="X110" s="343"/>
      <c r="Y110" s="367" t="str">
        <f t="shared" ca="1" si="51"/>
        <v/>
      </c>
      <c r="Z110" s="368" t="str">
        <f t="shared" ca="1" si="52"/>
        <v/>
      </c>
      <c r="AA110" s="369" t="str">
        <f t="shared" ca="1" si="53"/>
        <v/>
      </c>
      <c r="AB110" s="344"/>
      <c r="AC110" s="363" t="e">
        <f t="shared" ca="1" si="54"/>
        <v>#N/A</v>
      </c>
      <c r="AD110" s="376" t="e">
        <f t="shared" ca="1" si="55"/>
        <v>#N/A</v>
      </c>
      <c r="AE110" s="377">
        <f t="shared" ca="1" si="34"/>
        <v>40.201801814882984</v>
      </c>
      <c r="AF110" s="344"/>
      <c r="AG110" s="359">
        <f t="shared" ca="1" si="56"/>
        <v>73.369792239420377</v>
      </c>
      <c r="AH110" s="357">
        <f t="shared" ca="1" si="57"/>
        <v>82.98096054357606</v>
      </c>
    </row>
    <row r="111" spans="1:34" x14ac:dyDescent="0.25">
      <c r="A111" s="402">
        <f t="shared" ca="1" si="35"/>
        <v>0.01</v>
      </c>
      <c r="B111" s="357">
        <f t="shared" ca="1" si="36"/>
        <v>1.0700000000000007</v>
      </c>
      <c r="C111" s="342"/>
      <c r="D111" s="359">
        <f t="shared" ca="1" si="37"/>
        <v>16.636026689301318</v>
      </c>
      <c r="E111" s="360">
        <f t="shared" ca="1" si="38"/>
        <v>71.452237293138495</v>
      </c>
      <c r="F111" s="357">
        <f t="shared" ca="1" si="39"/>
        <v>73.363339606387314</v>
      </c>
      <c r="G111" s="359">
        <f t="shared" ca="1" si="40"/>
        <v>15.828319872375952</v>
      </c>
      <c r="H111" s="360">
        <f t="shared" ca="1" si="41"/>
        <v>77.218720262611285</v>
      </c>
      <c r="I111" s="357">
        <f t="shared" ca="1" si="42"/>
        <v>78.824275886161274</v>
      </c>
      <c r="J111" s="359">
        <f t="shared" ca="1" si="43"/>
        <v>7.9225614488990574</v>
      </c>
      <c r="K111" s="360">
        <f t="shared" ca="1" si="44"/>
        <v>40.970416405644443</v>
      </c>
      <c r="L111" s="357">
        <f t="shared" ca="1" si="29"/>
        <v>41.729390126905528</v>
      </c>
      <c r="M111" s="359">
        <f t="shared" ca="1" si="45"/>
        <v>1.3686165928868228</v>
      </c>
      <c r="N111" s="357">
        <f t="shared" ca="1" si="46"/>
        <v>78.415954543989358</v>
      </c>
      <c r="O111" s="343"/>
      <c r="P111" s="363">
        <f t="shared" ca="1" si="47"/>
        <v>6</v>
      </c>
      <c r="Q111" s="357">
        <f t="shared" ca="1" si="48"/>
        <v>1009.1877192982456</v>
      </c>
      <c r="R111" s="359">
        <f t="shared" ca="1" si="49"/>
        <v>0.50553468588046713</v>
      </c>
      <c r="S111" s="360">
        <f t="shared" ca="1" si="50"/>
        <v>11.961738480076477</v>
      </c>
      <c r="T111" s="357">
        <f t="shared" ca="1" si="30"/>
        <v>117.34465448955024</v>
      </c>
      <c r="U111" s="364">
        <f t="shared" ca="1" si="31"/>
        <v>0</v>
      </c>
      <c r="V111" s="359">
        <f t="shared" ca="1" si="32"/>
        <v>1.2199913842439656</v>
      </c>
      <c r="W111" s="357">
        <f t="shared" ca="1" si="33"/>
        <v>17.309195613413628</v>
      </c>
      <c r="X111" s="343"/>
      <c r="Y111" s="367" t="str">
        <f t="shared" ca="1" si="51"/>
        <v/>
      </c>
      <c r="Z111" s="368" t="str">
        <f t="shared" ca="1" si="52"/>
        <v/>
      </c>
      <c r="AA111" s="369" t="str">
        <f t="shared" ca="1" si="53"/>
        <v/>
      </c>
      <c r="AB111" s="344"/>
      <c r="AC111" s="363" t="e">
        <f t="shared" ca="1" si="54"/>
        <v>#N/A</v>
      </c>
      <c r="AD111" s="376" t="e">
        <f t="shared" ca="1" si="55"/>
        <v>#N/A</v>
      </c>
      <c r="AE111" s="377">
        <f t="shared" ca="1" si="34"/>
        <v>40.970416405644443</v>
      </c>
      <c r="AF111" s="344"/>
      <c r="AG111" s="359">
        <f t="shared" ca="1" si="56"/>
        <v>73.336952100897463</v>
      </c>
      <c r="AH111" s="357">
        <f t="shared" ca="1" si="57"/>
        <v>82.947625607328234</v>
      </c>
    </row>
    <row r="112" spans="1:34" x14ac:dyDescent="0.25">
      <c r="A112" s="402">
        <f t="shared" ca="1" si="35"/>
        <v>0.01</v>
      </c>
      <c r="B112" s="357">
        <f t="shared" ca="1" si="36"/>
        <v>1.0800000000000007</v>
      </c>
      <c r="C112" s="342"/>
      <c r="D112" s="359">
        <f t="shared" ca="1" si="37"/>
        <v>16.649559778889856</v>
      </c>
      <c r="E112" s="360">
        <f t="shared" ca="1" si="38"/>
        <v>71.415152728021852</v>
      </c>
      <c r="F112" s="357">
        <f t="shared" ca="1" si="39"/>
        <v>73.330293058172856</v>
      </c>
      <c r="G112" s="359">
        <f t="shared" ca="1" si="40"/>
        <v>15.99481547016485</v>
      </c>
      <c r="H112" s="360">
        <f t="shared" ca="1" si="41"/>
        <v>77.932871789891507</v>
      </c>
      <c r="I112" s="357">
        <f t="shared" ca="1" si="42"/>
        <v>79.557316617293552</v>
      </c>
      <c r="J112" s="359">
        <f t="shared" ca="1" si="43"/>
        <v>8.0816771256117619</v>
      </c>
      <c r="K112" s="360">
        <f t="shared" ca="1" si="44"/>
        <v>41.74617436590696</v>
      </c>
      <c r="L112" s="357">
        <f t="shared" ca="1" si="29"/>
        <v>42.521248562940194</v>
      </c>
      <c r="M112" s="359">
        <f t="shared" ca="1" si="45"/>
        <v>1.368368985433237</v>
      </c>
      <c r="N112" s="357">
        <f t="shared" ca="1" si="46"/>
        <v>78.401767681922905</v>
      </c>
      <c r="O112" s="343"/>
      <c r="P112" s="363">
        <f t="shared" ca="1" si="47"/>
        <v>6</v>
      </c>
      <c r="Q112" s="357">
        <f t="shared" ca="1" si="48"/>
        <v>1008.6859649122806</v>
      </c>
      <c r="R112" s="359">
        <f t="shared" ca="1" si="49"/>
        <v>0.50528334092149918</v>
      </c>
      <c r="S112" s="360">
        <f t="shared" ca="1" si="50"/>
        <v>11.956685646667262</v>
      </c>
      <c r="T112" s="357">
        <f t="shared" ca="1" si="30"/>
        <v>117.29508619380584</v>
      </c>
      <c r="U112" s="364">
        <f t="shared" ca="1" si="31"/>
        <v>0</v>
      </c>
      <c r="V112" s="359">
        <f t="shared" ca="1" si="32"/>
        <v>1.2198967457073531</v>
      </c>
      <c r="W112" s="357">
        <f t="shared" ca="1" si="33"/>
        <v>17.631264808786408</v>
      </c>
      <c r="X112" s="343"/>
      <c r="Y112" s="367" t="str">
        <f t="shared" ca="1" si="51"/>
        <v/>
      </c>
      <c r="Z112" s="368" t="str">
        <f t="shared" ca="1" si="52"/>
        <v/>
      </c>
      <c r="AA112" s="369" t="str">
        <f t="shared" ca="1" si="53"/>
        <v/>
      </c>
      <c r="AB112" s="344"/>
      <c r="AC112" s="363" t="e">
        <f t="shared" ca="1" si="54"/>
        <v>#N/A</v>
      </c>
      <c r="AD112" s="376" t="e">
        <f t="shared" ca="1" si="55"/>
        <v>#N/A</v>
      </c>
      <c r="AE112" s="377">
        <f t="shared" ca="1" si="34"/>
        <v>41.74617436590696</v>
      </c>
      <c r="AF112" s="344"/>
      <c r="AG112" s="359">
        <f t="shared" ca="1" si="56"/>
        <v>73.30382923245763</v>
      </c>
      <c r="AH112" s="357">
        <f t="shared" ca="1" si="57"/>
        <v>82.914011340190882</v>
      </c>
    </row>
    <row r="113" spans="1:34" x14ac:dyDescent="0.25">
      <c r="A113" s="402">
        <f t="shared" ca="1" si="35"/>
        <v>0.01</v>
      </c>
      <c r="B113" s="357">
        <f t="shared" ca="1" si="36"/>
        <v>1.0900000000000007</v>
      </c>
      <c r="C113" s="342"/>
      <c r="D113" s="359">
        <f t="shared" ca="1" si="37"/>
        <v>16.662857035843313</v>
      </c>
      <c r="E113" s="360">
        <f t="shared" ca="1" si="38"/>
        <v>71.377826358479638</v>
      </c>
      <c r="F113" s="357">
        <f t="shared" ca="1" si="39"/>
        <v>73.296963786082046</v>
      </c>
      <c r="G113" s="359">
        <f t="shared" ca="1" si="40"/>
        <v>16.161444040523282</v>
      </c>
      <c r="H113" s="360">
        <f t="shared" ca="1" si="41"/>
        <v>78.646650053476307</v>
      </c>
      <c r="I113" s="357">
        <f t="shared" ca="1" si="42"/>
        <v>80.290023278791807</v>
      </c>
      <c r="J113" s="359">
        <f t="shared" ca="1" si="43"/>
        <v>8.2424584231652034</v>
      </c>
      <c r="K113" s="360">
        <f t="shared" ca="1" si="44"/>
        <v>42.529071975123799</v>
      </c>
      <c r="L113" s="357">
        <f t="shared" ca="1" si="29"/>
        <v>43.320434946141383</v>
      </c>
      <c r="M113" s="359">
        <f t="shared" ca="1" si="45"/>
        <v>1.368123341221211</v>
      </c>
      <c r="N113" s="357">
        <f t="shared" ca="1" si="46"/>
        <v>78.387693305311998</v>
      </c>
      <c r="O113" s="343"/>
      <c r="P113" s="363">
        <f t="shared" ca="1" si="47"/>
        <v>6</v>
      </c>
      <c r="Q113" s="357">
        <f t="shared" ca="1" si="48"/>
        <v>1008.1842105263157</v>
      </c>
      <c r="R113" s="359">
        <f t="shared" ca="1" si="49"/>
        <v>0.50503199596253134</v>
      </c>
      <c r="S113" s="360">
        <f t="shared" ca="1" si="50"/>
        <v>11.951635326707637</v>
      </c>
      <c r="T113" s="357">
        <f t="shared" ca="1" si="30"/>
        <v>117.24554255500192</v>
      </c>
      <c r="U113" s="364">
        <f t="shared" ca="1" si="31"/>
        <v>0</v>
      </c>
      <c r="V113" s="359">
        <f t="shared" ca="1" si="32"/>
        <v>1.2198012435973089</v>
      </c>
      <c r="W113" s="357">
        <f t="shared" ca="1" si="33"/>
        <v>17.956115163992589</v>
      </c>
      <c r="X113" s="343"/>
      <c r="Y113" s="367" t="str">
        <f t="shared" ca="1" si="51"/>
        <v/>
      </c>
      <c r="Z113" s="368" t="str">
        <f t="shared" ca="1" si="52"/>
        <v/>
      </c>
      <c r="AA113" s="369" t="str">
        <f t="shared" ca="1" si="53"/>
        <v/>
      </c>
      <c r="AB113" s="344"/>
      <c r="AC113" s="363" t="e">
        <f t="shared" ca="1" si="54"/>
        <v>#N/A</v>
      </c>
      <c r="AD113" s="376" t="e">
        <f t="shared" ca="1" si="55"/>
        <v>#N/A</v>
      </c>
      <c r="AE113" s="377">
        <f t="shared" ca="1" si="34"/>
        <v>42.529071975123799</v>
      </c>
      <c r="AF113" s="344"/>
      <c r="AG113" s="359">
        <f t="shared" ca="1" si="56"/>
        <v>73.270423910495225</v>
      </c>
      <c r="AH113" s="357">
        <f t="shared" ca="1" si="57"/>
        <v>82.880117962099902</v>
      </c>
    </row>
    <row r="114" spans="1:34" x14ac:dyDescent="0.25">
      <c r="A114" s="402">
        <f t="shared" ca="1" si="35"/>
        <v>0.01</v>
      </c>
      <c r="B114" s="357">
        <f t="shared" ca="1" si="36"/>
        <v>1.1000000000000008</v>
      </c>
      <c r="C114" s="342"/>
      <c r="D114" s="359">
        <f t="shared" ca="1" si="37"/>
        <v>16.675921374883629</v>
      </c>
      <c r="E114" s="360">
        <f t="shared" ca="1" si="38"/>
        <v>71.34025794732716</v>
      </c>
      <c r="F114" s="357">
        <f t="shared" ca="1" si="39"/>
        <v>73.263352077914632</v>
      </c>
      <c r="G114" s="359">
        <f t="shared" ca="1" si="40"/>
        <v>16.328203254272118</v>
      </c>
      <c r="H114" s="360">
        <f t="shared" ca="1" si="41"/>
        <v>79.360052632949575</v>
      </c>
      <c r="I114" s="357">
        <f t="shared" ca="1" si="42"/>
        <v>81.022393049189489</v>
      </c>
      <c r="J114" s="359">
        <f t="shared" ca="1" si="43"/>
        <v>8.404906659639181</v>
      </c>
      <c r="K114" s="360">
        <f t="shared" ca="1" si="44"/>
        <v>43.319105488555927</v>
      </c>
      <c r="L114" s="357">
        <f t="shared" ca="1" si="29"/>
        <v>44.12694592067168</v>
      </c>
      <c r="M114" s="359">
        <f t="shared" ca="1" si="45"/>
        <v>1.3678796260726229</v>
      </c>
      <c r="N114" s="357">
        <f t="shared" ca="1" si="46"/>
        <v>78.373729455894491</v>
      </c>
      <c r="O114" s="343"/>
      <c r="P114" s="363">
        <f t="shared" ca="1" si="47"/>
        <v>6</v>
      </c>
      <c r="Q114" s="357">
        <f t="shared" ca="1" si="48"/>
        <v>1007.6824561403508</v>
      </c>
      <c r="R114" s="359">
        <f t="shared" ca="1" si="49"/>
        <v>0.50478065100356351</v>
      </c>
      <c r="S114" s="360">
        <f t="shared" ca="1" si="50"/>
        <v>11.946587520197602</v>
      </c>
      <c r="T114" s="357">
        <f t="shared" ca="1" si="30"/>
        <v>117.19602357313848</v>
      </c>
      <c r="U114" s="364">
        <f t="shared" ca="1" si="31"/>
        <v>0</v>
      </c>
      <c r="V114" s="359">
        <f t="shared" ca="1" si="32"/>
        <v>1.2197048785738336</v>
      </c>
      <c r="W114" s="357">
        <f t="shared" ca="1" si="33"/>
        <v>18.283739964168635</v>
      </c>
      <c r="X114" s="343"/>
      <c r="Y114" s="367" t="str">
        <f t="shared" ca="1" si="51"/>
        <v/>
      </c>
      <c r="Z114" s="368" t="str">
        <f t="shared" ca="1" si="52"/>
        <v/>
      </c>
      <c r="AA114" s="369" t="str">
        <f t="shared" ca="1" si="53"/>
        <v/>
      </c>
      <c r="AB114" s="344"/>
      <c r="AC114" s="363" t="e">
        <f t="shared" ca="1" si="54"/>
        <v>#N/A</v>
      </c>
      <c r="AD114" s="376" t="e">
        <f t="shared" ca="1" si="55"/>
        <v>#N/A</v>
      </c>
      <c r="AE114" s="377">
        <f t="shared" ca="1" si="34"/>
        <v>43.319105488555927</v>
      </c>
      <c r="AF114" s="344"/>
      <c r="AG114" s="359">
        <f t="shared" ca="1" si="56"/>
        <v>73.236736415117434</v>
      </c>
      <c r="AH114" s="357">
        <f t="shared" ca="1" si="57"/>
        <v>82.845945698139232</v>
      </c>
    </row>
    <row r="115" spans="1:34" x14ac:dyDescent="0.25">
      <c r="A115" s="402">
        <f t="shared" ca="1" si="35"/>
        <v>0.01</v>
      </c>
      <c r="B115" s="357">
        <f t="shared" ca="1" si="36"/>
        <v>1.1100000000000008</v>
      </c>
      <c r="C115" s="342"/>
      <c r="D115" s="359">
        <f t="shared" ca="1" si="37"/>
        <v>16.68875563466873</v>
      </c>
      <c r="E115" s="360">
        <f t="shared" ca="1" si="38"/>
        <v>71.302447274271984</v>
      </c>
      <c r="F115" s="357">
        <f t="shared" ca="1" si="39"/>
        <v>73.229458225047807</v>
      </c>
      <c r="G115" s="359">
        <f t="shared" ca="1" si="40"/>
        <v>16.495090810618805</v>
      </c>
      <c r="H115" s="360">
        <f t="shared" ca="1" si="41"/>
        <v>80.073077105692292</v>
      </c>
      <c r="I115" s="357">
        <f t="shared" ca="1" si="42"/>
        <v>81.754423109851999</v>
      </c>
      <c r="J115" s="359">
        <f t="shared" ca="1" si="43"/>
        <v>8.5690231299636359</v>
      </c>
      <c r="K115" s="360">
        <f t="shared" ca="1" si="44"/>
        <v>44.116271137249136</v>
      </c>
      <c r="L115" s="357">
        <f t="shared" ca="1" si="29"/>
        <v>44.940778102488757</v>
      </c>
      <c r="M115" s="359">
        <f t="shared" ca="1" si="45"/>
        <v>1.3676378067028796</v>
      </c>
      <c r="N115" s="357">
        <f t="shared" ca="1" si="46"/>
        <v>78.359874226603694</v>
      </c>
      <c r="O115" s="343"/>
      <c r="P115" s="363">
        <f t="shared" ca="1" si="47"/>
        <v>6</v>
      </c>
      <c r="Q115" s="357">
        <f t="shared" ca="1" si="48"/>
        <v>1007.180701754386</v>
      </c>
      <c r="R115" s="359">
        <f t="shared" ca="1" si="49"/>
        <v>0.50452930604459556</v>
      </c>
      <c r="S115" s="360">
        <f t="shared" ca="1" si="50"/>
        <v>11.941542227137155</v>
      </c>
      <c r="T115" s="357">
        <f t="shared" ca="1" si="30"/>
        <v>117.1465292482155</v>
      </c>
      <c r="U115" s="364">
        <f t="shared" ca="1" si="31"/>
        <v>0</v>
      </c>
      <c r="V115" s="359">
        <f t="shared" ca="1" si="32"/>
        <v>1.2196076513015495</v>
      </c>
      <c r="W115" s="357">
        <f t="shared" ca="1" si="33"/>
        <v>18.614132442006962</v>
      </c>
      <c r="X115" s="343"/>
      <c r="Y115" s="367" t="str">
        <f t="shared" ca="1" si="51"/>
        <v/>
      </c>
      <c r="Z115" s="368" t="str">
        <f t="shared" ca="1" si="52"/>
        <v/>
      </c>
      <c r="AA115" s="369" t="str">
        <f t="shared" ca="1" si="53"/>
        <v/>
      </c>
      <c r="AB115" s="344"/>
      <c r="AC115" s="363" t="e">
        <f t="shared" ca="1" si="54"/>
        <v>#N/A</v>
      </c>
      <c r="AD115" s="376" t="e">
        <f t="shared" ca="1" si="55"/>
        <v>#N/A</v>
      </c>
      <c r="AE115" s="377">
        <f t="shared" ca="1" si="34"/>
        <v>44.116271137249136</v>
      </c>
      <c r="AF115" s="344"/>
      <c r="AG115" s="359">
        <f t="shared" ca="1" si="56"/>
        <v>73.202767030187331</v>
      </c>
      <c r="AH115" s="357">
        <f t="shared" ca="1" si="57"/>
        <v>82.811494778534467</v>
      </c>
    </row>
    <row r="116" spans="1:34" x14ac:dyDescent="0.25">
      <c r="A116" s="402">
        <f t="shared" ca="1" si="35"/>
        <v>0.01</v>
      </c>
      <c r="B116" s="357">
        <f t="shared" ca="1" si="36"/>
        <v>1.1200000000000008</v>
      </c>
      <c r="C116" s="342"/>
      <c r="D116" s="359">
        <f t="shared" ca="1" si="37"/>
        <v>16.701362580530748</v>
      </c>
      <c r="E116" s="360">
        <f t="shared" ca="1" si="38"/>
        <v>71.264394135499344</v>
      </c>
      <c r="F116" s="357">
        <f t="shared" ca="1" si="39"/>
        <v>73.195282522483282</v>
      </c>
      <c r="G116" s="359">
        <f t="shared" ca="1" si="40"/>
        <v>16.662104436424112</v>
      </c>
      <c r="H116" s="360">
        <f t="shared" ca="1" si="41"/>
        <v>80.785721047047289</v>
      </c>
      <c r="I116" s="357">
        <f t="shared" ca="1" si="42"/>
        <v>82.486110645014918</v>
      </c>
      <c r="J116" s="359">
        <f t="shared" ca="1" si="43"/>
        <v>8.7348091061988509</v>
      </c>
      <c r="K116" s="360">
        <f t="shared" ca="1" si="44"/>
        <v>44.920565128012832</v>
      </c>
      <c r="L116" s="357">
        <f t="shared" ca="1" si="29"/>
        <v>45.761928079373767</v>
      </c>
      <c r="M116" s="359">
        <f t="shared" ca="1" si="45"/>
        <v>1.3673978506896882</v>
      </c>
      <c r="N116" s="357">
        <f t="shared" ca="1" si="46"/>
        <v>78.346125759779042</v>
      </c>
      <c r="O116" s="343"/>
      <c r="P116" s="363">
        <f t="shared" ca="1" si="47"/>
        <v>6</v>
      </c>
      <c r="Q116" s="357">
        <f t="shared" ca="1" si="48"/>
        <v>1006.6789473684209</v>
      </c>
      <c r="R116" s="359">
        <f t="shared" ca="1" si="49"/>
        <v>0.50427796108562761</v>
      </c>
      <c r="S116" s="360">
        <f t="shared" ca="1" si="50"/>
        <v>11.9364994475263</v>
      </c>
      <c r="T116" s="357">
        <f t="shared" ca="1" si="30"/>
        <v>117.09705958023301</v>
      </c>
      <c r="U116" s="364">
        <f t="shared" ca="1" si="31"/>
        <v>0</v>
      </c>
      <c r="V116" s="359">
        <f t="shared" ca="1" si="32"/>
        <v>1.2195095624496963</v>
      </c>
      <c r="W116" s="357">
        <f t="shared" ca="1" si="33"/>
        <v>18.947285777961138</v>
      </c>
      <c r="X116" s="343"/>
      <c r="Y116" s="367" t="str">
        <f t="shared" ca="1" si="51"/>
        <v/>
      </c>
      <c r="Z116" s="368" t="str">
        <f t="shared" ca="1" si="52"/>
        <v/>
      </c>
      <c r="AA116" s="369" t="str">
        <f t="shared" ca="1" si="53"/>
        <v/>
      </c>
      <c r="AB116" s="344"/>
      <c r="AC116" s="363" t="e">
        <f t="shared" ca="1" si="54"/>
        <v>#N/A</v>
      </c>
      <c r="AD116" s="376" t="e">
        <f t="shared" ca="1" si="55"/>
        <v>#N/A</v>
      </c>
      <c r="AE116" s="377">
        <f t="shared" ca="1" si="34"/>
        <v>44.920565128012832</v>
      </c>
      <c r="AF116" s="344"/>
      <c r="AG116" s="359">
        <f t="shared" ca="1" si="56"/>
        <v>73.168516043364434</v>
      </c>
      <c r="AH116" s="357">
        <f t="shared" ca="1" si="57"/>
        <v>82.776765438646152</v>
      </c>
    </row>
    <row r="117" spans="1:34" x14ac:dyDescent="0.25">
      <c r="A117" s="402">
        <f t="shared" ca="1" si="35"/>
        <v>0.01</v>
      </c>
      <c r="B117" s="357">
        <f t="shared" ca="1" si="36"/>
        <v>1.1300000000000008</v>
      </c>
      <c r="C117" s="342"/>
      <c r="D117" s="359">
        <f t="shared" ca="1" si="37"/>
        <v>16.713744907093691</v>
      </c>
      <c r="E117" s="360">
        <f t="shared" ca="1" si="38"/>
        <v>71.2260983432747</v>
      </c>
      <c r="F117" s="357">
        <f t="shared" ca="1" si="39"/>
        <v>73.160825268891259</v>
      </c>
      <c r="G117" s="359">
        <f t="shared" ca="1" si="40"/>
        <v>16.829241885495048</v>
      </c>
      <c r="H117" s="360">
        <f t="shared" ca="1" si="41"/>
        <v>81.497982030480031</v>
      </c>
      <c r="I117" s="357">
        <f t="shared" ca="1" si="42"/>
        <v>83.217452841822478</v>
      </c>
      <c r="J117" s="359">
        <f t="shared" ca="1" si="43"/>
        <v>8.9022658378084465</v>
      </c>
      <c r="K117" s="360">
        <f t="shared" ca="1" si="44"/>
        <v>45.731983643400469</v>
      </c>
      <c r="L117" s="357">
        <f t="shared" ca="1" si="29"/>
        <v>46.59039241096022</v>
      </c>
      <c r="M117" s="359">
        <f t="shared" ca="1" si="45"/>
        <v>1.3671597264431896</v>
      </c>
      <c r="N117" s="357">
        <f t="shared" ca="1" si="46"/>
        <v>78.332482245454941</v>
      </c>
      <c r="O117" s="343"/>
      <c r="P117" s="363">
        <f t="shared" ca="1" si="47"/>
        <v>6</v>
      </c>
      <c r="Q117" s="357">
        <f t="shared" ca="1" si="48"/>
        <v>1006.1771929824561</v>
      </c>
      <c r="R117" s="359">
        <f t="shared" ca="1" si="49"/>
        <v>0.50402661612665978</v>
      </c>
      <c r="S117" s="360">
        <f t="shared" ca="1" si="50"/>
        <v>11.931459181365033</v>
      </c>
      <c r="T117" s="357">
        <f t="shared" ca="1" si="30"/>
        <v>117.04761456919098</v>
      </c>
      <c r="U117" s="364">
        <f t="shared" ca="1" si="31"/>
        <v>0</v>
      </c>
      <c r="V117" s="359">
        <f t="shared" ca="1" si="32"/>
        <v>1.2194106126921307</v>
      </c>
      <c r="W117" s="357">
        <f t="shared" ca="1" si="33"/>
        <v>19.28319310045304</v>
      </c>
      <c r="X117" s="343"/>
      <c r="Y117" s="367" t="str">
        <f t="shared" ca="1" si="51"/>
        <v/>
      </c>
      <c r="Z117" s="368" t="str">
        <f t="shared" ca="1" si="52"/>
        <v/>
      </c>
      <c r="AA117" s="369" t="str">
        <f t="shared" ca="1" si="53"/>
        <v/>
      </c>
      <c r="AB117" s="344"/>
      <c r="AC117" s="363" t="e">
        <f t="shared" ca="1" si="54"/>
        <v>#N/A</v>
      </c>
      <c r="AD117" s="376" t="e">
        <f t="shared" ca="1" si="55"/>
        <v>#N/A</v>
      </c>
      <c r="AE117" s="377">
        <f t="shared" ca="1" si="34"/>
        <v>45.731983643400469</v>
      </c>
      <c r="AF117" s="344"/>
      <c r="AG117" s="359">
        <f t="shared" ca="1" si="56"/>
        <v>73.13398374614323</v>
      </c>
      <c r="AH117" s="357">
        <f t="shared" ca="1" si="57"/>
        <v>82.741757918963074</v>
      </c>
    </row>
    <row r="118" spans="1:34" x14ac:dyDescent="0.25">
      <c r="A118" s="402">
        <f t="shared" ca="1" si="35"/>
        <v>0.01</v>
      </c>
      <c r="B118" s="357">
        <f t="shared" ca="1" si="36"/>
        <v>1.1400000000000008</v>
      </c>
      <c r="C118" s="342"/>
      <c r="D118" s="359">
        <f t="shared" ca="1" si="37"/>
        <v>16.725905240776616</v>
      </c>
      <c r="E118" s="360">
        <f t="shared" ca="1" si="38"/>
        <v>71.187559725562622</v>
      </c>
      <c r="F118" s="357">
        <f t="shared" ca="1" si="39"/>
        <v>73.126086766652463</v>
      </c>
      <c r="G118" s="359">
        <f t="shared" ca="1" si="40"/>
        <v>16.996500937902812</v>
      </c>
      <c r="H118" s="360">
        <f t="shared" ca="1" si="41"/>
        <v>82.209857627735659</v>
      </c>
      <c r="I118" s="357">
        <f t="shared" ca="1" si="42"/>
        <v>83.948446890366583</v>
      </c>
      <c r="J118" s="359">
        <f t="shared" ca="1" si="43"/>
        <v>9.0713945519254366</v>
      </c>
      <c r="K118" s="360">
        <f t="shared" ca="1" si="44"/>
        <v>46.550522841691546</v>
      </c>
      <c r="L118" s="357">
        <f t="shared" ca="1" si="29"/>
        <v>47.426167628763224</v>
      </c>
      <c r="M118" s="359">
        <f t="shared" ca="1" si="45"/>
        <v>1.3669234031773807</v>
      </c>
      <c r="N118" s="357">
        <f t="shared" ca="1" si="46"/>
        <v>78.318941919723343</v>
      </c>
      <c r="O118" s="343"/>
      <c r="P118" s="363">
        <f t="shared" ca="1" si="47"/>
        <v>6</v>
      </c>
      <c r="Q118" s="357">
        <f t="shared" ca="1" si="48"/>
        <v>1005.6754385964912</v>
      </c>
      <c r="R118" s="359">
        <f t="shared" ca="1" si="49"/>
        <v>0.50377527116769194</v>
      </c>
      <c r="S118" s="360">
        <f t="shared" ca="1" si="50"/>
        <v>11.926421428653356</v>
      </c>
      <c r="T118" s="357">
        <f t="shared" ca="1" si="30"/>
        <v>116.99819421508943</v>
      </c>
      <c r="U118" s="364">
        <f t="shared" ca="1" si="31"/>
        <v>0</v>
      </c>
      <c r="V118" s="359">
        <f t="shared" ca="1" si="32"/>
        <v>1.2193108027073192</v>
      </c>
      <c r="W118" s="357">
        <f t="shared" ca="1" si="33"/>
        <v>19.621847486081986</v>
      </c>
      <c r="X118" s="343"/>
      <c r="Y118" s="367" t="str">
        <f t="shared" ca="1" si="51"/>
        <v/>
      </c>
      <c r="Z118" s="368" t="str">
        <f t="shared" ca="1" si="52"/>
        <v/>
      </c>
      <c r="AA118" s="369" t="str">
        <f t="shared" ca="1" si="53"/>
        <v/>
      </c>
      <c r="AB118" s="344"/>
      <c r="AC118" s="363" t="e">
        <f t="shared" ca="1" si="54"/>
        <v>#N/A</v>
      </c>
      <c r="AD118" s="376" t="e">
        <f t="shared" ca="1" si="55"/>
        <v>#N/A</v>
      </c>
      <c r="AE118" s="377">
        <f t="shared" ca="1" si="34"/>
        <v>46.550522841691546</v>
      </c>
      <c r="AF118" s="344"/>
      <c r="AG118" s="359">
        <f t="shared" ca="1" si="56"/>
        <v>73.099170433889284</v>
      </c>
      <c r="AH118" s="357">
        <f t="shared" ca="1" si="57"/>
        <v>82.706472465095032</v>
      </c>
    </row>
    <row r="119" spans="1:34" x14ac:dyDescent="0.25">
      <c r="A119" s="402">
        <f t="shared" ca="1" si="35"/>
        <v>0.01</v>
      </c>
      <c r="B119" s="357">
        <f t="shared" ca="1" si="36"/>
        <v>1.1500000000000008</v>
      </c>
      <c r="C119" s="342"/>
      <c r="D119" s="359">
        <f t="shared" ca="1" si="37"/>
        <v>16.737846142188616</v>
      </c>
      <c r="E119" s="360">
        <f t="shared" ca="1" si="38"/>
        <v>71.148778125661494</v>
      </c>
      <c r="F119" s="357">
        <f t="shared" ca="1" si="39"/>
        <v>73.091067321897725</v>
      </c>
      <c r="G119" s="359">
        <f t="shared" ca="1" si="40"/>
        <v>17.163879399324699</v>
      </c>
      <c r="H119" s="360">
        <f t="shared" ca="1" si="41"/>
        <v>82.921345408992266</v>
      </c>
      <c r="I119" s="357">
        <f t="shared" ca="1" si="42"/>
        <v>84.679089983726001</v>
      </c>
      <c r="J119" s="359">
        <f t="shared" ca="1" si="43"/>
        <v>9.2421964536115748</v>
      </c>
      <c r="K119" s="360">
        <f t="shared" ca="1" si="44"/>
        <v>47.376178856875185</v>
      </c>
      <c r="L119" s="357">
        <f t="shared" ca="1" si="29"/>
        <v>48.26925023620916</v>
      </c>
      <c r="M119" s="359">
        <f t="shared" ca="1" si="45"/>
        <v>1.3666888508827622</v>
      </c>
      <c r="N119" s="357">
        <f t="shared" ca="1" si="46"/>
        <v>78.305503063166583</v>
      </c>
      <c r="O119" s="343"/>
      <c r="P119" s="363">
        <f t="shared" ca="1" si="47"/>
        <v>6</v>
      </c>
      <c r="Q119" s="357">
        <f t="shared" ca="1" si="48"/>
        <v>1005.1736842105263</v>
      </c>
      <c r="R119" s="359">
        <f t="shared" ca="1" si="49"/>
        <v>0.50352392620872399</v>
      </c>
      <c r="S119" s="360">
        <f t="shared" ca="1" si="50"/>
        <v>11.921386189391269</v>
      </c>
      <c r="T119" s="357">
        <f t="shared" ca="1" si="30"/>
        <v>116.94879851792835</v>
      </c>
      <c r="U119" s="364">
        <f t="shared" ca="1" si="31"/>
        <v>0</v>
      </c>
      <c r="V119" s="359">
        <f t="shared" ca="1" si="32"/>
        <v>1.2192101331783383</v>
      </c>
      <c r="W119" s="357">
        <f t="shared" ca="1" si="33"/>
        <v>19.963241959835809</v>
      </c>
      <c r="X119" s="343"/>
      <c r="Y119" s="367" t="str">
        <f t="shared" ca="1" si="51"/>
        <v/>
      </c>
      <c r="Z119" s="368" t="str">
        <f t="shared" ca="1" si="52"/>
        <v/>
      </c>
      <c r="AA119" s="369" t="str">
        <f t="shared" ca="1" si="53"/>
        <v/>
      </c>
      <c r="AB119" s="344"/>
      <c r="AC119" s="363" t="e">
        <f t="shared" ca="1" si="54"/>
        <v>#N/A</v>
      </c>
      <c r="AD119" s="376" t="e">
        <f t="shared" ca="1" si="55"/>
        <v>#N/A</v>
      </c>
      <c r="AE119" s="377">
        <f t="shared" ca="1" si="34"/>
        <v>47.376178856875185</v>
      </c>
      <c r="AF119" s="344"/>
      <c r="AG119" s="359">
        <f t="shared" ca="1" si="56"/>
        <v>73.064076405873607</v>
      </c>
      <c r="AH119" s="357">
        <f t="shared" ca="1" si="57"/>
        <v>82.670909327765742</v>
      </c>
    </row>
    <row r="120" spans="1:34" x14ac:dyDescent="0.25">
      <c r="A120" s="402">
        <f t="shared" ca="1" si="35"/>
        <v>0.01</v>
      </c>
      <c r="B120" s="357">
        <f t="shared" ca="1" si="36"/>
        <v>1.1600000000000008</v>
      </c>
      <c r="C120" s="342"/>
      <c r="D120" s="359">
        <f t="shared" ca="1" si="37"/>
        <v>16.74957010842083</v>
      </c>
      <c r="E120" s="360">
        <f t="shared" ca="1" si="38"/>
        <v>71.109753401852771</v>
      </c>
      <c r="F120" s="357">
        <f t="shared" ca="1" si="39"/>
        <v>73.055767244545564</v>
      </c>
      <c r="G120" s="359">
        <f t="shared" ca="1" si="40"/>
        <v>17.331375100408909</v>
      </c>
      <c r="H120" s="360">
        <f t="shared" ca="1" si="41"/>
        <v>83.632442943010801</v>
      </c>
      <c r="I120" s="357">
        <f t="shared" ca="1" si="42"/>
        <v>85.409379318006003</v>
      </c>
      <c r="J120" s="359">
        <f t="shared" ca="1" si="43"/>
        <v>9.4146727261102434</v>
      </c>
      <c r="K120" s="360">
        <f t="shared" ca="1" si="44"/>
        <v>48.208947798635201</v>
      </c>
      <c r="L120" s="357">
        <f t="shared" ca="1" si="29"/>
        <v>49.119636708665688</v>
      </c>
      <c r="M120" s="359">
        <f t="shared" ca="1" si="45"/>
        <v>1.366456040300146</v>
      </c>
      <c r="N120" s="357">
        <f t="shared" ca="1" si="46"/>
        <v>78.292163999356703</v>
      </c>
      <c r="O120" s="343"/>
      <c r="P120" s="363">
        <f t="shared" ca="1" si="47"/>
        <v>6</v>
      </c>
      <c r="Q120" s="357">
        <f t="shared" ca="1" si="48"/>
        <v>1004.6719298245613</v>
      </c>
      <c r="R120" s="359">
        <f t="shared" ca="1" si="49"/>
        <v>0.50327258124975605</v>
      </c>
      <c r="S120" s="360">
        <f t="shared" ca="1" si="50"/>
        <v>11.916353463578771</v>
      </c>
      <c r="T120" s="357">
        <f t="shared" ca="1" si="30"/>
        <v>116.89942747770775</v>
      </c>
      <c r="U120" s="364">
        <f t="shared" ca="1" si="31"/>
        <v>0</v>
      </c>
      <c r="V120" s="359">
        <f t="shared" ca="1" si="32"/>
        <v>1.2191086047928676</v>
      </c>
      <c r="W120" s="357">
        <f t="shared" ca="1" si="33"/>
        <v>20.307369495303842</v>
      </c>
      <c r="X120" s="343"/>
      <c r="Y120" s="367" t="str">
        <f t="shared" ca="1" si="51"/>
        <v/>
      </c>
      <c r="Z120" s="368" t="str">
        <f t="shared" ca="1" si="52"/>
        <v/>
      </c>
      <c r="AA120" s="369" t="str">
        <f t="shared" ca="1" si="53"/>
        <v/>
      </c>
      <c r="AB120" s="344"/>
      <c r="AC120" s="363" t="e">
        <f t="shared" ca="1" si="54"/>
        <v>#N/A</v>
      </c>
      <c r="AD120" s="376" t="e">
        <f t="shared" ca="1" si="55"/>
        <v>#N/A</v>
      </c>
      <c r="AE120" s="377">
        <f t="shared" ca="1" si="34"/>
        <v>48.208947798635201</v>
      </c>
      <c r="AF120" s="344"/>
      <c r="AG120" s="359">
        <f t="shared" ca="1" si="56"/>
        <v>73.028701965304947</v>
      </c>
      <c r="AH120" s="357">
        <f t="shared" ca="1" si="57"/>
        <v>82.635068762805346</v>
      </c>
    </row>
    <row r="121" spans="1:34" x14ac:dyDescent="0.25">
      <c r="A121" s="402">
        <f t="shared" ca="1" si="35"/>
        <v>0.01</v>
      </c>
      <c r="B121" s="357">
        <f t="shared" ca="1" si="36"/>
        <v>1.1700000000000008</v>
      </c>
      <c r="C121" s="342"/>
      <c r="D121" s="359">
        <f t="shared" ca="1" si="37"/>
        <v>16.761079575241041</v>
      </c>
      <c r="E121" s="360">
        <f t="shared" ca="1" si="38"/>
        <v>71.070485427064369</v>
      </c>
      <c r="F121" s="357">
        <f t="shared" ca="1" si="39"/>
        <v>73.020186848337573</v>
      </c>
      <c r="G121" s="359">
        <f t="shared" ca="1" si="40"/>
        <v>17.498985896161319</v>
      </c>
      <c r="H121" s="360">
        <f t="shared" ca="1" si="41"/>
        <v>84.343147797281446</v>
      </c>
      <c r="I121" s="357">
        <f t="shared" ca="1" si="42"/>
        <v>86.139312092378091</v>
      </c>
      <c r="J121" s="359">
        <f t="shared" ca="1" si="43"/>
        <v>9.5888245310930937</v>
      </c>
      <c r="K121" s="360">
        <f t="shared" ca="1" si="44"/>
        <v>49.048825752336661</v>
      </c>
      <c r="L121" s="357">
        <f t="shared" ca="1" si="29"/>
        <v>49.977323493472284</v>
      </c>
      <c r="M121" s="359">
        <f t="shared" ca="1" si="45"/>
        <v>1.3662249428955655</v>
      </c>
      <c r="N121" s="357">
        <f t="shared" ca="1" si="46"/>
        <v>78.278923093417802</v>
      </c>
      <c r="O121" s="343"/>
      <c r="P121" s="363">
        <f t="shared" ca="1" si="47"/>
        <v>6</v>
      </c>
      <c r="Q121" s="357">
        <f t="shared" ca="1" si="48"/>
        <v>1004.1701754385964</v>
      </c>
      <c r="R121" s="359">
        <f t="shared" ca="1" si="49"/>
        <v>0.50302123629078821</v>
      </c>
      <c r="S121" s="360">
        <f t="shared" ca="1" si="50"/>
        <v>11.911323251215864</v>
      </c>
      <c r="T121" s="357">
        <f t="shared" ca="1" si="30"/>
        <v>116.85008109442762</v>
      </c>
      <c r="U121" s="364">
        <f t="shared" ca="1" si="31"/>
        <v>0</v>
      </c>
      <c r="V121" s="359">
        <f t="shared" ca="1" si="32"/>
        <v>1.2190062182431882</v>
      </c>
      <c r="W121" s="357">
        <f t="shared" ca="1" si="33"/>
        <v>20.654223014891794</v>
      </c>
      <c r="X121" s="343"/>
      <c r="Y121" s="367" t="str">
        <f t="shared" ca="1" si="51"/>
        <v/>
      </c>
      <c r="Z121" s="368" t="str">
        <f t="shared" ca="1" si="52"/>
        <v/>
      </c>
      <c r="AA121" s="369" t="str">
        <f t="shared" ca="1" si="53"/>
        <v/>
      </c>
      <c r="AB121" s="344"/>
      <c r="AC121" s="363" t="e">
        <f t="shared" ca="1" si="54"/>
        <v>#N/A</v>
      </c>
      <c r="AD121" s="376" t="e">
        <f t="shared" ca="1" si="55"/>
        <v>#N/A</v>
      </c>
      <c r="AE121" s="377">
        <f t="shared" ca="1" si="34"/>
        <v>49.048825752336661</v>
      </c>
      <c r="AF121" s="344"/>
      <c r="AG121" s="359">
        <f t="shared" ca="1" si="56"/>
        <v>72.993047419360352</v>
      </c>
      <c r="AH121" s="357">
        <f t="shared" ca="1" si="57"/>
        <v>82.59895103114286</v>
      </c>
    </row>
    <row r="122" spans="1:34" x14ac:dyDescent="0.25">
      <c r="A122" s="402">
        <f t="shared" ca="1" si="35"/>
        <v>0.01</v>
      </c>
      <c r="B122" s="357">
        <f t="shared" ca="1" si="36"/>
        <v>1.1800000000000008</v>
      </c>
      <c r="C122" s="342"/>
      <c r="D122" s="359">
        <f t="shared" ca="1" si="37"/>
        <v>16.772376919195665</v>
      </c>
      <c r="E122" s="360">
        <f t="shared" ca="1" si="38"/>
        <v>71.030974088547296</v>
      </c>
      <c r="F122" s="357">
        <f t="shared" ca="1" si="39"/>
        <v>72.984326450871933</v>
      </c>
      <c r="G122" s="359">
        <f t="shared" ca="1" si="40"/>
        <v>17.666709665353274</v>
      </c>
      <c r="H122" s="360">
        <f t="shared" ca="1" si="41"/>
        <v>85.053457538166924</v>
      </c>
      <c r="I122" s="357">
        <f t="shared" ca="1" si="42"/>
        <v>86.868885509120304</v>
      </c>
      <c r="J122" s="359">
        <f t="shared" ca="1" si="43"/>
        <v>9.764653008900666</v>
      </c>
      <c r="K122" s="360">
        <f t="shared" ca="1" si="44"/>
        <v>49.895808779013905</v>
      </c>
      <c r="L122" s="357">
        <f t="shared" ca="1" si="29"/>
        <v>50.842307009971073</v>
      </c>
      <c r="M122" s="359">
        <f t="shared" ca="1" si="45"/>
        <v>1.3659955308362317</v>
      </c>
      <c r="N122" s="357">
        <f t="shared" ca="1" si="46"/>
        <v>78.265778750648579</v>
      </c>
      <c r="O122" s="343"/>
      <c r="P122" s="363">
        <f t="shared" ca="1" si="47"/>
        <v>6</v>
      </c>
      <c r="Q122" s="357">
        <f t="shared" ca="1" si="48"/>
        <v>1003.6684210526315</v>
      </c>
      <c r="R122" s="359">
        <f t="shared" ca="1" si="49"/>
        <v>0.50276989133182026</v>
      </c>
      <c r="S122" s="360">
        <f t="shared" ca="1" si="50"/>
        <v>11.906295552302545</v>
      </c>
      <c r="T122" s="357">
        <f t="shared" ca="1" si="30"/>
        <v>116.80075936808797</v>
      </c>
      <c r="U122" s="364">
        <f t="shared" ca="1" si="31"/>
        <v>0</v>
      </c>
      <c r="V122" s="359">
        <f t="shared" ca="1" si="32"/>
        <v>1.2189029742261777</v>
      </c>
      <c r="W122" s="357">
        <f t="shared" ca="1" si="33"/>
        <v>21.003795390038672</v>
      </c>
      <c r="X122" s="343"/>
      <c r="Y122" s="367" t="str">
        <f t="shared" ca="1" si="51"/>
        <v/>
      </c>
      <c r="Z122" s="368" t="str">
        <f t="shared" ca="1" si="52"/>
        <v/>
      </c>
      <c r="AA122" s="369" t="str">
        <f t="shared" ca="1" si="53"/>
        <v/>
      </c>
      <c r="AB122" s="344"/>
      <c r="AC122" s="363" t="e">
        <f t="shared" ca="1" si="54"/>
        <v>#N/A</v>
      </c>
      <c r="AD122" s="376" t="e">
        <f t="shared" ca="1" si="55"/>
        <v>#N/A</v>
      </c>
      <c r="AE122" s="377">
        <f t="shared" ca="1" si="34"/>
        <v>49.895808779013905</v>
      </c>
      <c r="AF122" s="344"/>
      <c r="AG122" s="359">
        <f t="shared" ca="1" si="56"/>
        <v>72.957113079213826</v>
      </c>
      <c r="AH122" s="357">
        <f t="shared" ca="1" si="57"/>
        <v>82.56255639879825</v>
      </c>
    </row>
    <row r="123" spans="1:34" x14ac:dyDescent="0.25">
      <c r="A123" s="402">
        <f t="shared" ca="1" si="35"/>
        <v>0.01</v>
      </c>
      <c r="B123" s="357">
        <f t="shared" ca="1" si="36"/>
        <v>1.1900000000000008</v>
      </c>
      <c r="C123" s="342"/>
      <c r="D123" s="359">
        <f t="shared" ca="1" si="37"/>
        <v>16.783464459623847</v>
      </c>
      <c r="E123" s="360">
        <f t="shared" ca="1" si="38"/>
        <v>70.991219287564817</v>
      </c>
      <c r="F123" s="357">
        <f t="shared" ca="1" si="39"/>
        <v>72.948186373634897</v>
      </c>
      <c r="G123" s="359">
        <f t="shared" ca="1" si="40"/>
        <v>17.834544309949511</v>
      </c>
      <c r="H123" s="360">
        <f t="shared" ca="1" si="41"/>
        <v>85.763369731042573</v>
      </c>
      <c r="I123" s="357">
        <f t="shared" ca="1" si="42"/>
        <v>87.598096773657488</v>
      </c>
      <c r="J123" s="359">
        <f t="shared" ca="1" si="43"/>
        <v>9.9421592787771793</v>
      </c>
      <c r="K123" s="360">
        <f t="shared" ca="1" si="44"/>
        <v>50.749892915359951</v>
      </c>
      <c r="L123" s="357">
        <f t="shared" ca="1" si="29"/>
        <v>51.714583649538135</v>
      </c>
      <c r="M123" s="359">
        <f t="shared" ca="1" si="45"/>
        <v>1.3657677769674847</v>
      </c>
      <c r="N123" s="357">
        <f t="shared" ca="1" si="46"/>
        <v>78.2527294152016</v>
      </c>
      <c r="O123" s="343"/>
      <c r="P123" s="363">
        <f t="shared" ca="1" si="47"/>
        <v>6</v>
      </c>
      <c r="Q123" s="357">
        <f t="shared" ca="1" si="48"/>
        <v>1003.1666666666666</v>
      </c>
      <c r="R123" s="359">
        <f t="shared" ca="1" si="49"/>
        <v>0.50251854637285243</v>
      </c>
      <c r="S123" s="360">
        <f t="shared" ca="1" si="50"/>
        <v>11.901270366838817</v>
      </c>
      <c r="T123" s="357">
        <f t="shared" ca="1" si="30"/>
        <v>116.75146229868881</v>
      </c>
      <c r="U123" s="364">
        <f t="shared" ca="1" si="31"/>
        <v>0</v>
      </c>
      <c r="V123" s="359">
        <f t="shared" ca="1" si="32"/>
        <v>1.218798873443304</v>
      </c>
      <c r="W123" s="357">
        <f t="shared" ca="1" si="33"/>
        <v>21.356079441435391</v>
      </c>
      <c r="X123" s="343"/>
      <c r="Y123" s="367" t="str">
        <f t="shared" ca="1" si="51"/>
        <v/>
      </c>
      <c r="Z123" s="368" t="str">
        <f t="shared" ca="1" si="52"/>
        <v/>
      </c>
      <c r="AA123" s="369" t="str">
        <f t="shared" ca="1" si="53"/>
        <v/>
      </c>
      <c r="AB123" s="344"/>
      <c r="AC123" s="363" t="e">
        <f t="shared" ca="1" si="54"/>
        <v>#N/A</v>
      </c>
      <c r="AD123" s="376" t="e">
        <f t="shared" ca="1" si="55"/>
        <v>#N/A</v>
      </c>
      <c r="AE123" s="377">
        <f t="shared" ca="1" si="34"/>
        <v>50.749892915359951</v>
      </c>
      <c r="AF123" s="344"/>
      <c r="AG123" s="359">
        <f t="shared" ca="1" si="56"/>
        <v>72.920899260063393</v>
      </c>
      <c r="AH123" s="357">
        <f t="shared" ca="1" si="57"/>
        <v>82.52588513687445</v>
      </c>
    </row>
    <row r="124" spans="1:34" x14ac:dyDescent="0.25">
      <c r="A124" s="402">
        <f t="shared" ca="1" si="35"/>
        <v>0.01</v>
      </c>
      <c r="B124" s="357">
        <f t="shared" ca="1" si="36"/>
        <v>1.2000000000000008</v>
      </c>
      <c r="C124" s="342"/>
      <c r="D124" s="359">
        <f t="shared" ca="1" si="37"/>
        <v>16.794344460587983</v>
      </c>
      <c r="E124" s="360">
        <f t="shared" ca="1" si="38"/>
        <v>70.951220939094028</v>
      </c>
      <c r="F124" s="357">
        <f t="shared" ca="1" si="39"/>
        <v>72.911766942030809</v>
      </c>
      <c r="G124" s="359">
        <f t="shared" ca="1" si="40"/>
        <v>18.002487754555389</v>
      </c>
      <c r="H124" s="360">
        <f t="shared" ca="1" si="41"/>
        <v>86.47288194043351</v>
      </c>
      <c r="I124" s="357">
        <f t="shared" ca="1" si="42"/>
        <v>88.326943094602044</v>
      </c>
      <c r="J124" s="359">
        <f t="shared" ca="1" si="43"/>
        <v>10.121344439099703</v>
      </c>
      <c r="K124" s="360">
        <f t="shared" ca="1" si="44"/>
        <v>51.611074173717334</v>
      </c>
      <c r="L124" s="357">
        <f t="shared" ca="1" si="29"/>
        <v>52.594149775615222</v>
      </c>
      <c r="M124" s="359">
        <f t="shared" ca="1" si="45"/>
        <v>1.3655416547906909</v>
      </c>
      <c r="N124" s="357">
        <f t="shared" ca="1" si="46"/>
        <v>78.239773568817</v>
      </c>
      <c r="O124" s="343"/>
      <c r="P124" s="363">
        <f t="shared" ca="1" si="47"/>
        <v>6</v>
      </c>
      <c r="Q124" s="357">
        <f t="shared" ca="1" si="48"/>
        <v>1002.6649122807017</v>
      </c>
      <c r="R124" s="359">
        <f t="shared" ca="1" si="49"/>
        <v>0.50226720141388459</v>
      </c>
      <c r="S124" s="360">
        <f t="shared" ca="1" si="50"/>
        <v>11.896247694824678</v>
      </c>
      <c r="T124" s="357">
        <f t="shared" ca="1" si="30"/>
        <v>116.7021898862301</v>
      </c>
      <c r="U124" s="364">
        <f t="shared" ca="1" si="31"/>
        <v>0</v>
      </c>
      <c r="V124" s="359">
        <f t="shared" ca="1" si="32"/>
        <v>1.2186939166006232</v>
      </c>
      <c r="W124" s="357">
        <f t="shared" ca="1" si="33"/>
        <v>21.711067939245513</v>
      </c>
      <c r="X124" s="343"/>
      <c r="Y124" s="367" t="str">
        <f t="shared" ca="1" si="51"/>
        <v/>
      </c>
      <c r="Z124" s="368" t="str">
        <f t="shared" ca="1" si="52"/>
        <v/>
      </c>
      <c r="AA124" s="369" t="str">
        <f t="shared" ca="1" si="53"/>
        <v/>
      </c>
      <c r="AB124" s="344"/>
      <c r="AC124" s="363" t="e">
        <f t="shared" ca="1" si="54"/>
        <v>#N/A</v>
      </c>
      <c r="AD124" s="376" t="e">
        <f t="shared" ca="1" si="55"/>
        <v>#N/A</v>
      </c>
      <c r="AE124" s="377">
        <f t="shared" ca="1" si="34"/>
        <v>51.611074173717334</v>
      </c>
      <c r="AF124" s="344"/>
      <c r="AG124" s="359">
        <f t="shared" ca="1" si="56"/>
        <v>72.884406281156572</v>
      </c>
      <c r="AH124" s="357">
        <f t="shared" ca="1" si="57"/>
        <v>82.488937521549175</v>
      </c>
    </row>
    <row r="125" spans="1:34" x14ac:dyDescent="0.25">
      <c r="A125" s="402">
        <f t="shared" ca="1" si="35"/>
        <v>0.01</v>
      </c>
      <c r="B125" s="357">
        <f t="shared" ca="1" si="36"/>
        <v>1.2100000000000009</v>
      </c>
      <c r="C125" s="342"/>
      <c r="D125" s="359">
        <f t="shared" ca="1" si="37"/>
        <v>16.805019132724844</v>
      </c>
      <c r="E125" s="360">
        <f t="shared" ca="1" si="38"/>
        <v>70.910978971538356</v>
      </c>
      <c r="F125" s="357">
        <f t="shared" ca="1" si="39"/>
        <v>72.87506848541004</v>
      </c>
      <c r="G125" s="359">
        <f t="shared" ca="1" si="40"/>
        <v>18.170537945882639</v>
      </c>
      <c r="H125" s="360">
        <f t="shared" ca="1" si="41"/>
        <v>87.181991730148894</v>
      </c>
      <c r="I125" s="357">
        <f t="shared" ca="1" si="42"/>
        <v>89.055421683794805</v>
      </c>
      <c r="J125" s="359">
        <f t="shared" ca="1" si="43"/>
        <v>10.302209567601894</v>
      </c>
      <c r="K125" s="360">
        <f t="shared" ca="1" si="44"/>
        <v>52.479348542070248</v>
      </c>
      <c r="L125" s="357">
        <f t="shared" ca="1" si="29"/>
        <v>53.481001723741848</v>
      </c>
      <c r="M125" s="359">
        <f t="shared" ca="1" si="45"/>
        <v>1.3653171384420379</v>
      </c>
      <c r="N125" s="357">
        <f t="shared" ca="1" si="46"/>
        <v>78.226909729607499</v>
      </c>
      <c r="O125" s="343"/>
      <c r="P125" s="363">
        <f t="shared" ca="1" si="47"/>
        <v>6</v>
      </c>
      <c r="Q125" s="357">
        <f t="shared" ca="1" si="48"/>
        <v>1002.1631578947367</v>
      </c>
      <c r="R125" s="359">
        <f t="shared" ca="1" si="49"/>
        <v>0.50201585645491664</v>
      </c>
      <c r="S125" s="360">
        <f t="shared" ca="1" si="50"/>
        <v>11.891227536260129</v>
      </c>
      <c r="T125" s="357">
        <f t="shared" ca="1" si="30"/>
        <v>116.65294213071186</v>
      </c>
      <c r="U125" s="364">
        <f t="shared" ca="1" si="31"/>
        <v>0</v>
      </c>
      <c r="V125" s="359">
        <f t="shared" ca="1" si="32"/>
        <v>1.2185881044087739</v>
      </c>
      <c r="W125" s="357">
        <f t="shared" ca="1" si="33"/>
        <v>22.068753603327767</v>
      </c>
      <c r="X125" s="343"/>
      <c r="Y125" s="367" t="str">
        <f t="shared" ca="1" si="51"/>
        <v/>
      </c>
      <c r="Z125" s="368" t="str">
        <f t="shared" ca="1" si="52"/>
        <v/>
      </c>
      <c r="AA125" s="369" t="str">
        <f t="shared" ca="1" si="53"/>
        <v/>
      </c>
      <c r="AB125" s="344"/>
      <c r="AC125" s="363" t="e">
        <f t="shared" ca="1" si="54"/>
        <v>#N/A</v>
      </c>
      <c r="AD125" s="376" t="e">
        <f t="shared" ca="1" si="55"/>
        <v>#N/A</v>
      </c>
      <c r="AE125" s="377">
        <f t="shared" ca="1" si="34"/>
        <v>52.479348542070248</v>
      </c>
      <c r="AF125" s="344"/>
      <c r="AG125" s="359">
        <f t="shared" ca="1" si="56"/>
        <v>72.847634465814266</v>
      </c>
      <c r="AH125" s="357">
        <f t="shared" ca="1" si="57"/>
        <v>82.451713834066453</v>
      </c>
    </row>
    <row r="126" spans="1:34" x14ac:dyDescent="0.25">
      <c r="A126" s="402">
        <f t="shared" ca="1" si="35"/>
        <v>0.01</v>
      </c>
      <c r="B126" s="357">
        <f t="shared" ca="1" si="36"/>
        <v>1.2200000000000009</v>
      </c>
      <c r="C126" s="342"/>
      <c r="D126" s="359">
        <f t="shared" ca="1" si="37"/>
        <v>16.815490635021199</v>
      </c>
      <c r="E126" s="360">
        <f t="shared" ca="1" si="38"/>
        <v>70.870493326451268</v>
      </c>
      <c r="F126" s="357">
        <f t="shared" ca="1" si="39"/>
        <v>72.838091337095449</v>
      </c>
      <c r="G126" s="359">
        <f t="shared" ca="1" si="40"/>
        <v>18.33869285223285</v>
      </c>
      <c r="H126" s="360">
        <f t="shared" ca="1" si="41"/>
        <v>87.890696663413408</v>
      </c>
      <c r="I126" s="357">
        <f t="shared" ca="1" si="42"/>
        <v>89.783529756346098</v>
      </c>
      <c r="J126" s="359">
        <f t="shared" ca="1" si="43"/>
        <v>10.484755721592471</v>
      </c>
      <c r="K126" s="360">
        <f t="shared" ca="1" si="44"/>
        <v>53.354711984038062</v>
      </c>
      <c r="L126" s="357">
        <f t="shared" ca="1" si="29"/>
        <v>54.375135801587852</v>
      </c>
      <c r="M126" s="359">
        <f t="shared" ca="1" si="45"/>
        <v>1.3650942026721866</v>
      </c>
      <c r="N126" s="357">
        <f t="shared" ca="1" si="46"/>
        <v>78.214136450892525</v>
      </c>
      <c r="O126" s="343"/>
      <c r="P126" s="363">
        <f t="shared" ca="1" si="47"/>
        <v>6</v>
      </c>
      <c r="Q126" s="357">
        <f t="shared" ca="1" si="48"/>
        <v>1001.6614035087719</v>
      </c>
      <c r="R126" s="359">
        <f t="shared" ca="1" si="49"/>
        <v>0.5017645114959487</v>
      </c>
      <c r="S126" s="360">
        <f t="shared" ca="1" si="50"/>
        <v>11.886209891145169</v>
      </c>
      <c r="T126" s="357">
        <f t="shared" ca="1" si="30"/>
        <v>116.60371903213412</v>
      </c>
      <c r="U126" s="364">
        <f t="shared" ca="1" si="31"/>
        <v>0</v>
      </c>
      <c r="V126" s="359">
        <f t="shared" ca="1" si="32"/>
        <v>1.2184814375829711</v>
      </c>
      <c r="W126" s="357">
        <f t="shared" ca="1" si="33"/>
        <v>22.429129103460397</v>
      </c>
      <c r="X126" s="343"/>
      <c r="Y126" s="367" t="str">
        <f t="shared" ca="1" si="51"/>
        <v/>
      </c>
      <c r="Z126" s="368" t="str">
        <f t="shared" ca="1" si="52"/>
        <v/>
      </c>
      <c r="AA126" s="369" t="str">
        <f t="shared" ca="1" si="53"/>
        <v/>
      </c>
      <c r="AB126" s="344"/>
      <c r="AC126" s="363" t="e">
        <f t="shared" ca="1" si="54"/>
        <v>#N/A</v>
      </c>
      <c r="AD126" s="376" t="e">
        <f t="shared" ca="1" si="55"/>
        <v>#N/A</v>
      </c>
      <c r="AE126" s="377">
        <f t="shared" ca="1" si="34"/>
        <v>53.354711984038062</v>
      </c>
      <c r="AF126" s="344"/>
      <c r="AG126" s="359">
        <f t="shared" ca="1" si="56"/>
        <v>72.810584141453162</v>
      </c>
      <c r="AH126" s="357">
        <f t="shared" ca="1" si="57"/>
        <v>82.414214360728053</v>
      </c>
    </row>
    <row r="127" spans="1:34" x14ac:dyDescent="0.25">
      <c r="A127" s="402">
        <f t="shared" ca="1" si="35"/>
        <v>0.01</v>
      </c>
      <c r="B127" s="357">
        <f t="shared" ca="1" si="36"/>
        <v>1.2300000000000009</v>
      </c>
      <c r="C127" s="342"/>
      <c r="D127" s="359">
        <f t="shared" ca="1" si="37"/>
        <v>16.825761076517587</v>
      </c>
      <c r="E127" s="360">
        <f t="shared" ca="1" si="38"/>
        <v>70.829763958270291</v>
      </c>
      <c r="F127" s="357">
        <f t="shared" ca="1" si="39"/>
        <v>72.800835834407422</v>
      </c>
      <c r="G127" s="359">
        <f t="shared" ca="1" si="40"/>
        <v>18.506950462998027</v>
      </c>
      <c r="H127" s="360">
        <f t="shared" ca="1" si="41"/>
        <v>88.598994302996104</v>
      </c>
      <c r="I127" s="357">
        <f t="shared" ca="1" si="42"/>
        <v>90.511264530677053</v>
      </c>
      <c r="J127" s="359">
        <f t="shared" ca="1" si="43"/>
        <v>10.668983938168624</v>
      </c>
      <c r="K127" s="360">
        <f t="shared" ca="1" si="44"/>
        <v>54.237160438870106</v>
      </c>
      <c r="L127" s="357">
        <f t="shared" ca="1" si="29"/>
        <v>55.276548288986319</v>
      </c>
      <c r="M127" s="359">
        <f t="shared" ca="1" si="45"/>
        <v>1.3648728228267346</v>
      </c>
      <c r="N127" s="357">
        <f t="shared" ca="1" si="46"/>
        <v>78.201452320078857</v>
      </c>
      <c r="O127" s="343"/>
      <c r="P127" s="363">
        <f t="shared" ca="1" si="47"/>
        <v>6</v>
      </c>
      <c r="Q127" s="357">
        <f t="shared" ca="1" si="48"/>
        <v>1001.159649122807</v>
      </c>
      <c r="R127" s="359">
        <f t="shared" ca="1" si="49"/>
        <v>0.50151316653698086</v>
      </c>
      <c r="S127" s="360">
        <f t="shared" ca="1" si="50"/>
        <v>11.881194759479799</v>
      </c>
      <c r="T127" s="357">
        <f t="shared" ca="1" si="30"/>
        <v>116.55452059049684</v>
      </c>
      <c r="U127" s="364">
        <f t="shared" ca="1" si="31"/>
        <v>0</v>
      </c>
      <c r="V127" s="359">
        <f t="shared" ca="1" si="32"/>
        <v>1.2183739168430017</v>
      </c>
      <c r="W127" s="357">
        <f t="shared" ca="1" si="33"/>
        <v>22.792187059567457</v>
      </c>
      <c r="X127" s="343"/>
      <c r="Y127" s="367" t="str">
        <f t="shared" ca="1" si="51"/>
        <v/>
      </c>
      <c r="Z127" s="368" t="str">
        <f t="shared" ca="1" si="52"/>
        <v/>
      </c>
      <c r="AA127" s="369" t="str">
        <f t="shared" ca="1" si="53"/>
        <v/>
      </c>
      <c r="AB127" s="344"/>
      <c r="AC127" s="363" t="e">
        <f t="shared" ca="1" si="54"/>
        <v>#N/A</v>
      </c>
      <c r="AD127" s="376" t="e">
        <f t="shared" ca="1" si="55"/>
        <v>#N/A</v>
      </c>
      <c r="AE127" s="377">
        <f t="shared" ca="1" si="34"/>
        <v>54.237160438870106</v>
      </c>
      <c r="AF127" s="344"/>
      <c r="AG127" s="359">
        <f t="shared" ca="1" si="56"/>
        <v>72.773255639606774</v>
      </c>
      <c r="AH127" s="357">
        <f t="shared" ca="1" si="57"/>
        <v>82.376439392884677</v>
      </c>
    </row>
    <row r="128" spans="1:34" x14ac:dyDescent="0.25">
      <c r="A128" s="402">
        <f t="shared" ca="1" si="35"/>
        <v>0.01</v>
      </c>
      <c r="B128" s="357">
        <f t="shared" ca="1" si="36"/>
        <v>1.2400000000000009</v>
      </c>
      <c r="C128" s="342"/>
      <c r="D128" s="359">
        <f t="shared" ca="1" si="37"/>
        <v>16.8358325179438</v>
      </c>
      <c r="E128" s="360">
        <f t="shared" ca="1" si="38"/>
        <v>70.788790834060606</v>
      </c>
      <c r="F128" s="357">
        <f t="shared" ca="1" si="39"/>
        <v>72.763302318686968</v>
      </c>
      <c r="G128" s="359">
        <f t="shared" ca="1" si="40"/>
        <v>18.675308788177464</v>
      </c>
      <c r="H128" s="360">
        <f t="shared" ca="1" si="41"/>
        <v>89.306882211336713</v>
      </c>
      <c r="I128" s="357">
        <f t="shared" ca="1" si="42"/>
        <v>91.238623228561195</v>
      </c>
      <c r="J128" s="359">
        <f t="shared" ca="1" si="43"/>
        <v>10.854895234424502</v>
      </c>
      <c r="K128" s="360">
        <f t="shared" ca="1" si="44"/>
        <v>55.126689821441772</v>
      </c>
      <c r="L128" s="357">
        <f t="shared" ca="1" si="29"/>
        <v>56.185235437967009</v>
      </c>
      <c r="M128" s="359">
        <f t="shared" ca="1" si="45"/>
        <v>1.3646529748274581</v>
      </c>
      <c r="N128" s="357">
        <f t="shared" ca="1" si="46"/>
        <v>78.188855957585915</v>
      </c>
      <c r="O128" s="343"/>
      <c r="P128" s="363">
        <f t="shared" ca="1" si="47"/>
        <v>6</v>
      </c>
      <c r="Q128" s="357">
        <f t="shared" ca="1" si="48"/>
        <v>1000.6578947368421</v>
      </c>
      <c r="R128" s="359">
        <f t="shared" ca="1" si="49"/>
        <v>0.50126182157801302</v>
      </c>
      <c r="S128" s="360">
        <f t="shared" ca="1" si="50"/>
        <v>11.876182141264019</v>
      </c>
      <c r="T128" s="357">
        <f t="shared" ca="1" si="30"/>
        <v>116.50534680580003</v>
      </c>
      <c r="U128" s="364">
        <f t="shared" ca="1" si="31"/>
        <v>0</v>
      </c>
      <c r="V128" s="359">
        <f t="shared" ca="1" si="32"/>
        <v>1.2182655429132205</v>
      </c>
      <c r="W128" s="357">
        <f t="shared" ca="1" si="33"/>
        <v>23.157920041947026</v>
      </c>
      <c r="X128" s="343"/>
      <c r="Y128" s="367" t="str">
        <f t="shared" ca="1" si="51"/>
        <v/>
      </c>
      <c r="Z128" s="368" t="str">
        <f t="shared" ca="1" si="52"/>
        <v/>
      </c>
      <c r="AA128" s="369" t="str">
        <f t="shared" ca="1" si="53"/>
        <v/>
      </c>
      <c r="AB128" s="344"/>
      <c r="AC128" s="363" t="e">
        <f t="shared" ca="1" si="54"/>
        <v>#N/A</v>
      </c>
      <c r="AD128" s="376" t="e">
        <f t="shared" ca="1" si="55"/>
        <v>#N/A</v>
      </c>
      <c r="AE128" s="377">
        <f t="shared" ca="1" si="34"/>
        <v>55.126689821441772</v>
      </c>
      <c r="AF128" s="344"/>
      <c r="AG128" s="359">
        <f t="shared" ca="1" si="56"/>
        <v>72.735649295945038</v>
      </c>
      <c r="AH128" s="357">
        <f t="shared" ca="1" si="57"/>
        <v>82.338389226926864</v>
      </c>
    </row>
    <row r="129" spans="1:34" x14ac:dyDescent="0.25">
      <c r="A129" s="402">
        <f t="shared" ca="1" si="35"/>
        <v>0.01</v>
      </c>
      <c r="B129" s="357">
        <f t="shared" ca="1" si="36"/>
        <v>1.2500000000000009</v>
      </c>
      <c r="C129" s="342"/>
      <c r="D129" s="359">
        <f t="shared" ca="1" si="37"/>
        <v>16.845706973289126</v>
      </c>
      <c r="E129" s="360">
        <f t="shared" ca="1" si="38"/>
        <v>70.747573933268498</v>
      </c>
      <c r="F129" s="357">
        <f t="shared" ca="1" si="39"/>
        <v>72.725491135317981</v>
      </c>
      <c r="G129" s="359">
        <f t="shared" ca="1" si="40"/>
        <v>18.843765857910356</v>
      </c>
      <c r="H129" s="360">
        <f t="shared" ca="1" si="41"/>
        <v>90.014357950669392</v>
      </c>
      <c r="I129" s="357">
        <f t="shared" ca="1" si="42"/>
        <v>91.965603075166015</v>
      </c>
      <c r="J129" s="359">
        <f t="shared" ca="1" si="43"/>
        <v>11.042490607654941</v>
      </c>
      <c r="K129" s="360">
        <f t="shared" ca="1" si="44"/>
        <v>56.023296022251806</v>
      </c>
      <c r="L129" s="357">
        <f t="shared" ca="1" si="29"/>
        <v>57.101193472790065</v>
      </c>
      <c r="M129" s="359">
        <f t="shared" ca="1" si="45"/>
        <v>1.3644346351542893</v>
      </c>
      <c r="N129" s="357">
        <f t="shared" ca="1" si="46"/>
        <v>78.176346015813081</v>
      </c>
      <c r="O129" s="343"/>
      <c r="P129" s="363">
        <f t="shared" ca="1" si="47"/>
        <v>6</v>
      </c>
      <c r="Q129" s="357">
        <f t="shared" ca="1" si="48"/>
        <v>1000.1561403508771</v>
      </c>
      <c r="R129" s="359">
        <f t="shared" ca="1" si="49"/>
        <v>0.50101047661904508</v>
      </c>
      <c r="S129" s="360">
        <f t="shared" ca="1" si="50"/>
        <v>11.871172036497828</v>
      </c>
      <c r="T129" s="357">
        <f t="shared" ca="1" si="30"/>
        <v>116.45619767804371</v>
      </c>
      <c r="U129" s="364">
        <f t="shared" ca="1" si="31"/>
        <v>0</v>
      </c>
      <c r="V129" s="359">
        <f t="shared" ca="1" si="32"/>
        <v>1.2181563165225411</v>
      </c>
      <c r="W129" s="357">
        <f t="shared" ca="1" si="33"/>
        <v>23.526320571501078</v>
      </c>
      <c r="X129" s="343"/>
      <c r="Y129" s="367" t="str">
        <f t="shared" ca="1" si="51"/>
        <v/>
      </c>
      <c r="Z129" s="368" t="str">
        <f t="shared" ca="1" si="52"/>
        <v/>
      </c>
      <c r="AA129" s="369" t="str">
        <f t="shared" ca="1" si="53"/>
        <v/>
      </c>
      <c r="AB129" s="344"/>
      <c r="AC129" s="363" t="e">
        <f t="shared" ca="1" si="54"/>
        <v>#N/A</v>
      </c>
      <c r="AD129" s="376" t="e">
        <f t="shared" ca="1" si="55"/>
        <v>#N/A</v>
      </c>
      <c r="AE129" s="377">
        <f t="shared" ca="1" si="34"/>
        <v>56.023296022251806</v>
      </c>
      <c r="AF129" s="344"/>
      <c r="AG129" s="359">
        <f t="shared" ca="1" si="56"/>
        <v>72.697765450292749</v>
      </c>
      <c r="AH129" s="357">
        <f t="shared" ca="1" si="57"/>
        <v>82.30006416427598</v>
      </c>
    </row>
    <row r="130" spans="1:34" x14ac:dyDescent="0.25">
      <c r="A130" s="402">
        <f t="shared" ca="1" si="35"/>
        <v>0.01</v>
      </c>
      <c r="B130" s="357">
        <f t="shared" ca="1" si="36"/>
        <v>1.2600000000000009</v>
      </c>
      <c r="C130" s="342"/>
      <c r="D130" s="359">
        <f t="shared" ca="1" si="37"/>
        <v>16.85538641131069</v>
      </c>
      <c r="E130" s="360">
        <f t="shared" ca="1" si="38"/>
        <v>70.706113247483273</v>
      </c>
      <c r="F130" s="357">
        <f t="shared" ca="1" si="39"/>
        <v>72.687402633747524</v>
      </c>
      <c r="G130" s="359">
        <f t="shared" ca="1" si="40"/>
        <v>19.012319722023463</v>
      </c>
      <c r="H130" s="360">
        <f t="shared" ca="1" si="41"/>
        <v>90.721419083144227</v>
      </c>
      <c r="I130" s="357">
        <f t="shared" ca="1" si="42"/>
        <v>92.69220129909489</v>
      </c>
      <c r="J130" s="359">
        <f t="shared" ca="1" si="43"/>
        <v>11.23177103555461</v>
      </c>
      <c r="K130" s="360">
        <f t="shared" ca="1" si="44"/>
        <v>56.926974907420878</v>
      </c>
      <c r="L130" s="357">
        <f t="shared" ca="1" si="29"/>
        <v>58.024418589980286</v>
      </c>
      <c r="M130" s="359">
        <f t="shared" ca="1" si="45"/>
        <v>1.3642177808279994</v>
      </c>
      <c r="N130" s="357">
        <f t="shared" ca="1" si="46"/>
        <v>78.163921178147518</v>
      </c>
      <c r="O130" s="343"/>
      <c r="P130" s="363">
        <f t="shared" ca="1" si="47"/>
        <v>6</v>
      </c>
      <c r="Q130" s="357">
        <f t="shared" ca="1" si="48"/>
        <v>999.65438596491219</v>
      </c>
      <c r="R130" s="359">
        <f t="shared" ca="1" si="49"/>
        <v>0.50075913166007713</v>
      </c>
      <c r="S130" s="360">
        <f t="shared" ca="1" si="50"/>
        <v>11.866164445181228</v>
      </c>
      <c r="T130" s="357">
        <f t="shared" ca="1" si="30"/>
        <v>116.40707320722785</v>
      </c>
      <c r="U130" s="364">
        <f t="shared" ca="1" si="31"/>
        <v>0</v>
      </c>
      <c r="V130" s="359">
        <f t="shared" ca="1" si="32"/>
        <v>1.2180462384044344</v>
      </c>
      <c r="W130" s="357">
        <f t="shared" ca="1" si="33"/>
        <v>23.897381119967431</v>
      </c>
      <c r="X130" s="343"/>
      <c r="Y130" s="367" t="str">
        <f t="shared" ca="1" si="51"/>
        <v/>
      </c>
      <c r="Z130" s="368" t="str">
        <f t="shared" ca="1" si="52"/>
        <v/>
      </c>
      <c r="AA130" s="369" t="str">
        <f t="shared" ca="1" si="53"/>
        <v/>
      </c>
      <c r="AB130" s="344"/>
      <c r="AC130" s="363" t="e">
        <f t="shared" ca="1" si="54"/>
        <v>#N/A</v>
      </c>
      <c r="AD130" s="376" t="e">
        <f t="shared" ca="1" si="55"/>
        <v>#N/A</v>
      </c>
      <c r="AE130" s="377">
        <f t="shared" ca="1" si="34"/>
        <v>56.926974907420878</v>
      </c>
      <c r="AF130" s="344"/>
      <c r="AG130" s="359">
        <f t="shared" ca="1" si="56"/>
        <v>72.659604446646597</v>
      </c>
      <c r="AH130" s="357">
        <f t="shared" ca="1" si="57"/>
        <v>82.261464511374641</v>
      </c>
    </row>
    <row r="131" spans="1:34" x14ac:dyDescent="0.25">
      <c r="A131" s="402">
        <f t="shared" ca="1" si="35"/>
        <v>0.01</v>
      </c>
      <c r="B131" s="357">
        <f t="shared" ca="1" si="36"/>
        <v>1.2700000000000009</v>
      </c>
      <c r="C131" s="342"/>
      <c r="D131" s="359">
        <f t="shared" ca="1" si="37"/>
        <v>16.864872756982653</v>
      </c>
      <c r="E131" s="360">
        <f t="shared" ca="1" si="38"/>
        <v>70.664408780207907</v>
      </c>
      <c r="F131" s="357">
        <f t="shared" ca="1" si="39"/>
        <v>72.649037167505114</v>
      </c>
      <c r="G131" s="359">
        <f t="shared" ca="1" si="40"/>
        <v>19.180968449593291</v>
      </c>
      <c r="H131" s="360">
        <f t="shared" ca="1" si="41"/>
        <v>91.428063170946302</v>
      </c>
      <c r="I131" s="357">
        <f t="shared" ca="1" si="42"/>
        <v>93.418415132429004</v>
      </c>
      <c r="J131" s="359">
        <f t="shared" ca="1" si="43"/>
        <v>11.422737476412694</v>
      </c>
      <c r="K131" s="360">
        <f t="shared" ca="1" si="44"/>
        <v>57.837722318691327</v>
      </c>
      <c r="L131" s="357">
        <f t="shared" ca="1" si="29"/>
        <v>58.954906958361725</v>
      </c>
      <c r="M131" s="359">
        <f t="shared" ca="1" si="45"/>
        <v>1.3640023893935511</v>
      </c>
      <c r="N131" s="357">
        <f t="shared" ca="1" si="46"/>
        <v>78.151580158010361</v>
      </c>
      <c r="O131" s="343"/>
      <c r="P131" s="363">
        <f t="shared" ca="1" si="47"/>
        <v>6</v>
      </c>
      <c r="Q131" s="357">
        <f t="shared" ca="1" si="48"/>
        <v>999.15263157894731</v>
      </c>
      <c r="R131" s="359">
        <f t="shared" ca="1" si="49"/>
        <v>0.50050778670110929</v>
      </c>
      <c r="S131" s="360">
        <f t="shared" ca="1" si="50"/>
        <v>11.861159367314217</v>
      </c>
      <c r="T131" s="357">
        <f t="shared" ca="1" si="30"/>
        <v>116.35797339335248</v>
      </c>
      <c r="U131" s="364">
        <f t="shared" ca="1" si="31"/>
        <v>0</v>
      </c>
      <c r="V131" s="359">
        <f t="shared" ca="1" si="32"/>
        <v>1.2179353092969181</v>
      </c>
      <c r="W131" s="357">
        <f t="shared" ca="1" si="33"/>
        <v>24.271094110153289</v>
      </c>
      <c r="X131" s="343"/>
      <c r="Y131" s="367" t="str">
        <f t="shared" ca="1" si="51"/>
        <v/>
      </c>
      <c r="Z131" s="368" t="str">
        <f t="shared" ca="1" si="52"/>
        <v/>
      </c>
      <c r="AA131" s="369" t="str">
        <f t="shared" ca="1" si="53"/>
        <v/>
      </c>
      <c r="AB131" s="344"/>
      <c r="AC131" s="363" t="e">
        <f t="shared" ca="1" si="54"/>
        <v>#N/A</v>
      </c>
      <c r="AD131" s="376" t="e">
        <f t="shared" ca="1" si="55"/>
        <v>#N/A</v>
      </c>
      <c r="AE131" s="377">
        <f t="shared" ca="1" si="34"/>
        <v>57.837722318691327</v>
      </c>
      <c r="AF131" s="344"/>
      <c r="AG131" s="359">
        <f t="shared" ca="1" si="56"/>
        <v>72.621166633191024</v>
      </c>
      <c r="AH131" s="357">
        <f t="shared" ca="1" si="57"/>
        <v>82.222590579677188</v>
      </c>
    </row>
    <row r="132" spans="1:34" x14ac:dyDescent="0.25">
      <c r="A132" s="402">
        <f t="shared" ca="1" si="35"/>
        <v>0.01</v>
      </c>
      <c r="B132" s="357">
        <f t="shared" ca="1" si="36"/>
        <v>1.2800000000000009</v>
      </c>
      <c r="C132" s="342"/>
      <c r="D132" s="359">
        <f t="shared" ca="1" si="37"/>
        <v>16.874167892889105</v>
      </c>
      <c r="E132" s="360">
        <f t="shared" ca="1" si="38"/>
        <v>70.622460546637868</v>
      </c>
      <c r="F132" s="357">
        <f t="shared" ca="1" si="39"/>
        <v>72.610395094220721</v>
      </c>
      <c r="G132" s="359">
        <f t="shared" ca="1" si="40"/>
        <v>19.349710128522183</v>
      </c>
      <c r="H132" s="360">
        <f t="shared" ca="1" si="41"/>
        <v>92.134287776412677</v>
      </c>
      <c r="I132" s="357">
        <f t="shared" ca="1" si="42"/>
        <v>94.144241810769614</v>
      </c>
      <c r="J132" s="359">
        <f t="shared" ca="1" si="43"/>
        <v>11.615390869303271</v>
      </c>
      <c r="K132" s="360">
        <f t="shared" ca="1" si="44"/>
        <v>58.755534073428123</v>
      </c>
      <c r="L132" s="357">
        <f t="shared" ref="L132:L195" ca="1" si="58">SQRT(pos_x^2+pos_z^2)</f>
        <v>59.892654719092782</v>
      </c>
      <c r="M132" s="359">
        <f t="shared" ca="1" si="45"/>
        <v>1.363788438904092</v>
      </c>
      <c r="N132" s="357">
        <f t="shared" ca="1" si="46"/>
        <v>78.139321697939593</v>
      </c>
      <c r="O132" s="343"/>
      <c r="P132" s="363">
        <f t="shared" ca="1" si="47"/>
        <v>6</v>
      </c>
      <c r="Q132" s="357">
        <f t="shared" ca="1" si="48"/>
        <v>998.65087719298242</v>
      </c>
      <c r="R132" s="359">
        <f t="shared" ca="1" si="49"/>
        <v>0.50025644174214146</v>
      </c>
      <c r="S132" s="360">
        <f t="shared" ca="1" si="50"/>
        <v>11.856156802896797</v>
      </c>
      <c r="T132" s="357">
        <f t="shared" ref="T132:T195" ca="1" si="59">m*g</f>
        <v>116.30889823641758</v>
      </c>
      <c r="U132" s="364">
        <f t="shared" ref="U132:U195" ca="1" si="60">IF(pos_xz&lt;L_rampe,Poids*COS(Beta),0)</f>
        <v>0</v>
      </c>
      <c r="V132" s="359">
        <f t="shared" ref="V132:V195" ca="1" si="61">Rho_moyen*(20000-Alt_rampe-pos_z)/(20000+Alt_rampe+pos_z)</f>
        <v>1.2178235299425544</v>
      </c>
      <c r="W132" s="357">
        <f t="shared" ref="W132:W195" ca="1" si="62">1/2*Rho*Sref*Cx*vit_xz^2</f>
        <v>24.647451916170848</v>
      </c>
      <c r="X132" s="343"/>
      <c r="Y132" s="367" t="str">
        <f t="shared" ca="1" si="51"/>
        <v/>
      </c>
      <c r="Z132" s="368" t="str">
        <f t="shared" ca="1" si="52"/>
        <v/>
      </c>
      <c r="AA132" s="369" t="str">
        <f t="shared" ca="1" si="53"/>
        <v/>
      </c>
      <c r="AB132" s="344"/>
      <c r="AC132" s="363" t="e">
        <f t="shared" ca="1" si="54"/>
        <v>#N/A</v>
      </c>
      <c r="AD132" s="376" t="e">
        <f t="shared" ca="1" si="55"/>
        <v>#N/A</v>
      </c>
      <c r="AE132" s="377">
        <f t="shared" ref="AE132:AE195" ca="1" si="63">IF(t&lt;T_para, pos_z, NA())</f>
        <v>58.755534073428123</v>
      </c>
      <c r="AF132" s="344"/>
      <c r="AG132" s="359">
        <f t="shared" ca="1" si="56"/>
        <v>72.582452362313091</v>
      </c>
      <c r="AH132" s="357">
        <f t="shared" ca="1" si="57"/>
        <v>82.18344268563996</v>
      </c>
    </row>
    <row r="133" spans="1:34" x14ac:dyDescent="0.25">
      <c r="A133" s="402">
        <f t="shared" ref="A133:A196" ca="1" si="64">IF(B132+0.01&lt;=T_ini+ROUNDUP(Temps_fin_propu,0), 0.01, IF(K132&gt;0, 0.1, 0.0001))</f>
        <v>0.01</v>
      </c>
      <c r="B133" s="357">
        <f t="shared" ref="B133:B196" ca="1" si="65">B132+pas</f>
        <v>1.2900000000000009</v>
      </c>
      <c r="C133" s="342"/>
      <c r="D133" s="359">
        <f t="shared" ref="D133:D196" ca="1" si="66">IF(AND(L132&lt;L_rampe,Poussee&lt;Poids*SIN(M132)),0,(-W132+Poussee)/m*COS(M132)-U132/m*SIN(M132))</f>
        <v>16.876698147047779</v>
      </c>
      <c r="E133" s="360">
        <f t="shared" ref="E133:E196" ca="1" si="67">IF(AND(L132&lt;L_rampe,Poussee&lt;Poids*SIN(M132)),0,(-W132+Poussee)/m*SIN(M132)+U132/m*COS(M132)-Poids/m)</f>
        <v>70.548959047336709</v>
      </c>
      <c r="F133" s="357">
        <f t="shared" ref="F133:F196" ca="1" si="68">SQRT(acc_x^2+acc_z^2)</f>
        <v>72.539496572621445</v>
      </c>
      <c r="G133" s="359">
        <f t="shared" ref="G133:G196" ca="1" si="69">G132+acc_x*pas</f>
        <v>19.518477109992659</v>
      </c>
      <c r="H133" s="360">
        <f t="shared" ref="H133:H196" ca="1" si="70">H132+acc_z*pas</f>
        <v>92.83977736688604</v>
      </c>
      <c r="I133" s="357">
        <f t="shared" ref="I133:I196" ca="1" si="71">SQRT(vit_x^2+vit_z^2)</f>
        <v>94.869358647701802</v>
      </c>
      <c r="J133" s="359">
        <f t="shared" ref="J133:J196" ca="1" si="72">J132+0.5*(vit_x+G132)*pas*(K132&gt;=0)</f>
        <v>11.809731805495845</v>
      </c>
      <c r="K133" s="360">
        <f t="shared" ref="K133:K196" ca="1" si="73">K132+0.5*(vit_z+H132)*pas</f>
        <v>59.680404399144614</v>
      </c>
      <c r="L133" s="357">
        <f t="shared" ca="1" si="58"/>
        <v>60.837656386182232</v>
      </c>
      <c r="M133" s="359">
        <f t="shared" ref="M133:M196" ca="1" si="74">IF(AND(L132&gt;L_rampe,G133&gt;0),ATAN2(G133,H133),$M$4)</f>
        <v>1.3635759071888434</v>
      </c>
      <c r="N133" s="357">
        <f t="shared" ref="N133:N196" ca="1" si="75">DEGREES(Beta)</f>
        <v>78.127144527643168</v>
      </c>
      <c r="O133" s="343"/>
      <c r="P133" s="363">
        <f t="shared" ref="P133:P196" ca="1" si="76">MATCH(t-pas/2-T_ini,CdP_t)</f>
        <v>7</v>
      </c>
      <c r="Q133" s="357">
        <f t="shared" ref="Q133:Q196" ca="1" si="77">(INDEX(CdP,2,i_P+1)-INDEX(CdP,2,i_P+0))/(INDEX(CdP,1,i_P+1)-INDEX(CdP,1,i_P+0))*(t-pas/2-T_ini-INDEX(CdP,1,i_P+0))+INDEX(CdP,2,i_P+0)</f>
        <v>997.77012987012972</v>
      </c>
      <c r="R133" s="359">
        <f t="shared" ref="R133:R196" ca="1" si="78">Poussee/(g*ISP)</f>
        <v>0.49981524699444074</v>
      </c>
      <c r="S133" s="360">
        <f t="shared" ref="S133:S196" ca="1" si="79">S132-Débit*pas</f>
        <v>11.851158650426852</v>
      </c>
      <c r="T133" s="357">
        <f t="shared" ca="1" si="59"/>
        <v>116.25986636068743</v>
      </c>
      <c r="U133" s="364">
        <f t="shared" ca="1" si="60"/>
        <v>0</v>
      </c>
      <c r="V133" s="359">
        <f t="shared" ca="1" si="61"/>
        <v>1.2177109012790737</v>
      </c>
      <c r="W133" s="357">
        <f t="shared" ca="1" si="62"/>
        <v>25.026278076317677</v>
      </c>
      <c r="X133" s="343"/>
      <c r="Y133" s="367" t="str">
        <f t="shared" ref="Y133:Y196" ca="1" si="80">IF(AND(pos_z&lt;=0,K132&gt;0),"Impact balistique","") &amp; IF(AND(H134&lt;0,vit_z&gt;=0),"Apogée","") &amp; IF(AND(Poussee=0,Q132&gt;0),"Fin de propulsion","") &amp; IF(AND(L134&gt;L_rampe,pos_xz&lt;=L_rampe),"Sortie de rampe","")</f>
        <v/>
      </c>
      <c r="Z133" s="368" t="str">
        <f t="shared" ref="Z133:Z196" ca="1" si="81">IF(ABS(t-T_para)&lt;pas/2,"Para","")</f>
        <v/>
      </c>
      <c r="AA133" s="369" t="str">
        <f t="shared" ref="AA133:AA196" ca="1" si="82">IF(ABS(t-T_satellite)&lt;pas/2,"Satellite","")</f>
        <v/>
      </c>
      <c r="AB133" s="344"/>
      <c r="AC133" s="363" t="e">
        <f t="shared" ref="AC133:AC196" ca="1" si="83">IF(ABS(t-ROUND(t,0))&lt;0.001,t,NA())</f>
        <v>#N/A</v>
      </c>
      <c r="AD133" s="376" t="e">
        <f t="shared" ref="AD133:AD196" ca="1" si="84">IF(ABS(t-ROUND(t,0))&lt;0.001,pos_x,NA())</f>
        <v>#N/A</v>
      </c>
      <c r="AE133" s="377">
        <f t="shared" ca="1" si="63"/>
        <v>59.680404399144614</v>
      </c>
      <c r="AF133" s="344"/>
      <c r="AG133" s="359">
        <f t="shared" ref="AG133:AG196" ca="1" si="85">IF(AND(L132&lt;L_rampe,Poussee&lt;Poids*SIN(M132)),0,(-W132+Poussee)/m-Poids*SIN(M132)/m)</f>
        <v>72.511469432055009</v>
      </c>
      <c r="AH133" s="357">
        <f t="shared" ref="AH133:AH196" ca="1" si="86">IF(AND(L132&lt;L_rampe,Poussee&lt;Poids*SIN(M132)), g*SIN(M132), (-W132+Poussee)/m)</f>
        <v>82.112028592150281</v>
      </c>
    </row>
    <row r="134" spans="1:34" x14ac:dyDescent="0.25">
      <c r="A134" s="402">
        <f t="shared" ca="1" si="64"/>
        <v>0.01</v>
      </c>
      <c r="B134" s="357">
        <f t="shared" ca="1" si="65"/>
        <v>1.3000000000000009</v>
      </c>
      <c r="C134" s="342"/>
      <c r="D134" s="359">
        <f t="shared" ca="1" si="66"/>
        <v>16.872437323690061</v>
      </c>
      <c r="E134" s="360">
        <f t="shared" ca="1" si="67"/>
        <v>70.44387000946783</v>
      </c>
      <c r="F134" s="357">
        <f t="shared" ca="1" si="68"/>
        <v>72.436302798753132</v>
      </c>
      <c r="G134" s="359">
        <f t="shared" ca="1" si="69"/>
        <v>19.687201483229561</v>
      </c>
      <c r="H134" s="360">
        <f t="shared" ca="1" si="70"/>
        <v>93.544216066980724</v>
      </c>
      <c r="I134" s="357">
        <f t="shared" ca="1" si="71"/>
        <v>95.593442567088516</v>
      </c>
      <c r="J134" s="359">
        <f t="shared" ca="1" si="72"/>
        <v>12.005760198461957</v>
      </c>
      <c r="K134" s="360">
        <f t="shared" ca="1" si="73"/>
        <v>60.612324366313949</v>
      </c>
      <c r="L134" s="357">
        <f t="shared" ca="1" si="58"/>
        <v>61.789903245030487</v>
      </c>
      <c r="M134" s="359">
        <f t="shared" ca="1" si="74"/>
        <v>1.3633647718771353</v>
      </c>
      <c r="N134" s="357">
        <f t="shared" ca="1" si="75"/>
        <v>78.115047365376128</v>
      </c>
      <c r="O134" s="343"/>
      <c r="P134" s="363">
        <f t="shared" ca="1" si="76"/>
        <v>7</v>
      </c>
      <c r="Q134" s="357">
        <f t="shared" ca="1" si="77"/>
        <v>996.51038961038944</v>
      </c>
      <c r="R134" s="359">
        <f t="shared" ca="1" si="78"/>
        <v>0.49918420245800738</v>
      </c>
      <c r="S134" s="360">
        <f t="shared" ca="1" si="79"/>
        <v>11.846166808402272</v>
      </c>
      <c r="T134" s="357">
        <f t="shared" ca="1" si="59"/>
        <v>116.21089639042629</v>
      </c>
      <c r="U134" s="364">
        <f t="shared" ca="1" si="60"/>
        <v>0</v>
      </c>
      <c r="V134" s="359">
        <f t="shared" ca="1" si="61"/>
        <v>1.2175974246301</v>
      </c>
      <c r="W134" s="357">
        <f t="shared" ca="1" si="62"/>
        <v>25.407390786626838</v>
      </c>
      <c r="X134" s="343"/>
      <c r="Y134" s="367" t="str">
        <f t="shared" ca="1" si="80"/>
        <v/>
      </c>
      <c r="Z134" s="368" t="str">
        <f t="shared" ca="1" si="81"/>
        <v/>
      </c>
      <c r="AA134" s="369" t="str">
        <f t="shared" ca="1" si="82"/>
        <v/>
      </c>
      <c r="AB134" s="344"/>
      <c r="AC134" s="363" t="e">
        <f t="shared" ca="1" si="83"/>
        <v>#N/A</v>
      </c>
      <c r="AD134" s="376" t="e">
        <f t="shared" ca="1" si="84"/>
        <v>#N/A</v>
      </c>
      <c r="AE134" s="377">
        <f t="shared" ca="1" si="63"/>
        <v>60.612324366313949</v>
      </c>
      <c r="AF134" s="344"/>
      <c r="AG134" s="359">
        <f t="shared" ca="1" si="85"/>
        <v>72.408178869874689</v>
      </c>
      <c r="AH134" s="357">
        <f t="shared" ca="1" si="86"/>
        <v>82.008309290817664</v>
      </c>
    </row>
    <row r="135" spans="1:34" x14ac:dyDescent="0.25">
      <c r="A135" s="402">
        <f t="shared" ca="1" si="64"/>
        <v>0.01</v>
      </c>
      <c r="B135" s="357">
        <f t="shared" ca="1" si="65"/>
        <v>1.3100000000000009</v>
      </c>
      <c r="C135" s="342"/>
      <c r="D135" s="359">
        <f t="shared" ca="1" si="66"/>
        <v>16.867953906056869</v>
      </c>
      <c r="E135" s="360">
        <f t="shared" ca="1" si="67"/>
        <v>70.338492722044833</v>
      </c>
      <c r="F135" s="357">
        <f t="shared" ca="1" si="68"/>
        <v>72.332782522076485</v>
      </c>
      <c r="G135" s="359">
        <f t="shared" ca="1" si="69"/>
        <v>19.855881022290131</v>
      </c>
      <c r="H135" s="360">
        <f t="shared" ca="1" si="70"/>
        <v>94.247600994201179</v>
      </c>
      <c r="I135" s="357">
        <f t="shared" ca="1" si="71"/>
        <v>96.316490303236719</v>
      </c>
      <c r="J135" s="359">
        <f t="shared" ca="1" si="72"/>
        <v>12.203475610989555</v>
      </c>
      <c r="K135" s="360">
        <f t="shared" ca="1" si="73"/>
        <v>61.551283451619859</v>
      </c>
      <c r="L135" s="357">
        <f t="shared" ca="1" si="58"/>
        <v>62.749384949413404</v>
      </c>
      <c r="M135" s="359">
        <f t="shared" ca="1" si="74"/>
        <v>1.3631550111181678</v>
      </c>
      <c r="N135" s="357">
        <f t="shared" ca="1" si="75"/>
        <v>78.103028959179824</v>
      </c>
      <c r="O135" s="343"/>
      <c r="P135" s="363">
        <f t="shared" ca="1" si="76"/>
        <v>7</v>
      </c>
      <c r="Q135" s="357">
        <f t="shared" ca="1" si="77"/>
        <v>995.25064935064916</v>
      </c>
      <c r="R135" s="359">
        <f t="shared" ca="1" si="78"/>
        <v>0.49855315792157406</v>
      </c>
      <c r="S135" s="360">
        <f t="shared" ca="1" si="79"/>
        <v>11.841181276823056</v>
      </c>
      <c r="T135" s="357">
        <f t="shared" ca="1" si="59"/>
        <v>116.16198832563418</v>
      </c>
      <c r="U135" s="364">
        <f t="shared" ca="1" si="60"/>
        <v>0</v>
      </c>
      <c r="V135" s="359">
        <f t="shared" ca="1" si="61"/>
        <v>1.2174831015146441</v>
      </c>
      <c r="W135" s="357">
        <f t="shared" ca="1" si="62"/>
        <v>25.790774389447378</v>
      </c>
      <c r="X135" s="343"/>
      <c r="Y135" s="367" t="str">
        <f t="shared" ca="1" si="80"/>
        <v/>
      </c>
      <c r="Z135" s="368" t="str">
        <f t="shared" ca="1" si="81"/>
        <v/>
      </c>
      <c r="AA135" s="369" t="str">
        <f t="shared" ca="1" si="82"/>
        <v/>
      </c>
      <c r="AB135" s="344"/>
      <c r="AC135" s="363" t="e">
        <f t="shared" ca="1" si="83"/>
        <v>#N/A</v>
      </c>
      <c r="AD135" s="376" t="e">
        <f t="shared" ca="1" si="84"/>
        <v>#N/A</v>
      </c>
      <c r="AE135" s="377">
        <f t="shared" ca="1" si="63"/>
        <v>61.551283451619859</v>
      </c>
      <c r="AF135" s="344"/>
      <c r="AG135" s="359">
        <f t="shared" ca="1" si="85"/>
        <v>72.30456172058328</v>
      </c>
      <c r="AH135" s="357">
        <f t="shared" ca="1" si="86"/>
        <v>81.904265789960746</v>
      </c>
    </row>
    <row r="136" spans="1:34" x14ac:dyDescent="0.25">
      <c r="A136" s="402">
        <f t="shared" ca="1" si="64"/>
        <v>0.01</v>
      </c>
      <c r="B136" s="357">
        <f t="shared" ca="1" si="65"/>
        <v>1.320000000000001</v>
      </c>
      <c r="C136" s="342"/>
      <c r="D136" s="359">
        <f t="shared" ca="1" si="66"/>
        <v>16.863250108315651</v>
      </c>
      <c r="E136" s="360">
        <f t="shared" ca="1" si="67"/>
        <v>70.232827910269449</v>
      </c>
      <c r="F136" s="357">
        <f t="shared" ca="1" si="68"/>
        <v>72.228936863899165</v>
      </c>
      <c r="G136" s="359">
        <f t="shared" ca="1" si="69"/>
        <v>20.024513523373287</v>
      </c>
      <c r="H136" s="360">
        <f t="shared" ca="1" si="70"/>
        <v>94.94992927330388</v>
      </c>
      <c r="I136" s="357">
        <f t="shared" ca="1" si="71"/>
        <v>97.038498601602285</v>
      </c>
      <c r="J136" s="359">
        <f t="shared" ca="1" si="72"/>
        <v>12.402877583717872</v>
      </c>
      <c r="K136" s="360">
        <f t="shared" ca="1" si="73"/>
        <v>62.497271102957384</v>
      </c>
      <c r="L136" s="357">
        <f t="shared" ca="1" si="58"/>
        <v>63.716091120479476</v>
      </c>
      <c r="M136" s="359">
        <f t="shared" ca="1" si="74"/>
        <v>1.362946603564833</v>
      </c>
      <c r="N136" s="357">
        <f t="shared" ca="1" si="75"/>
        <v>78.091088085955093</v>
      </c>
      <c r="O136" s="343"/>
      <c r="P136" s="363">
        <f t="shared" ca="1" si="76"/>
        <v>7</v>
      </c>
      <c r="Q136" s="357">
        <f t="shared" ca="1" si="77"/>
        <v>993.99090909090899</v>
      </c>
      <c r="R136" s="359">
        <f t="shared" ca="1" si="78"/>
        <v>0.49792211338514075</v>
      </c>
      <c r="S136" s="360">
        <f t="shared" ca="1" si="79"/>
        <v>11.836202055689204</v>
      </c>
      <c r="T136" s="357">
        <f t="shared" ca="1" si="59"/>
        <v>116.11314216631111</v>
      </c>
      <c r="U136" s="364">
        <f t="shared" ca="1" si="60"/>
        <v>0</v>
      </c>
      <c r="V136" s="359">
        <f t="shared" ca="1" si="61"/>
        <v>1.21736793345648</v>
      </c>
      <c r="W136" s="357">
        <f t="shared" ca="1" si="62"/>
        <v>26.176413196000876</v>
      </c>
      <c r="X136" s="343"/>
      <c r="Y136" s="367" t="str">
        <f t="shared" ca="1" si="80"/>
        <v/>
      </c>
      <c r="Z136" s="368" t="str">
        <f t="shared" ca="1" si="81"/>
        <v/>
      </c>
      <c r="AA136" s="369" t="str">
        <f t="shared" ca="1" si="82"/>
        <v/>
      </c>
      <c r="AB136" s="344"/>
      <c r="AC136" s="363" t="e">
        <f t="shared" ca="1" si="83"/>
        <v>#N/A</v>
      </c>
      <c r="AD136" s="376" t="e">
        <f t="shared" ca="1" si="84"/>
        <v>#N/A</v>
      </c>
      <c r="AE136" s="377">
        <f t="shared" ca="1" si="63"/>
        <v>62.497271102957384</v>
      </c>
      <c r="AF136" s="344"/>
      <c r="AG136" s="359">
        <f t="shared" ca="1" si="85"/>
        <v>72.200619099465001</v>
      </c>
      <c r="AH136" s="357">
        <f t="shared" ca="1" si="86"/>
        <v>81.799899169183689</v>
      </c>
    </row>
    <row r="137" spans="1:34" x14ac:dyDescent="0.25">
      <c r="A137" s="402">
        <f t="shared" ca="1" si="64"/>
        <v>0.01</v>
      </c>
      <c r="B137" s="357">
        <f t="shared" ca="1" si="65"/>
        <v>1.330000000000001</v>
      </c>
      <c r="C137" s="342"/>
      <c r="D137" s="359">
        <f t="shared" ca="1" si="66"/>
        <v>16.858328099656738</v>
      </c>
      <c r="E137" s="360">
        <f t="shared" ca="1" si="67"/>
        <v>70.126876312134712</v>
      </c>
      <c r="F137" s="357">
        <f t="shared" ca="1" si="68"/>
        <v>72.124766950147688</v>
      </c>
      <c r="G137" s="359">
        <f t="shared" ca="1" si="69"/>
        <v>20.193096804369855</v>
      </c>
      <c r="H137" s="360">
        <f t="shared" ca="1" si="70"/>
        <v>95.651198036425228</v>
      </c>
      <c r="I137" s="357">
        <f t="shared" ca="1" si="71"/>
        <v>97.759464218837095</v>
      </c>
      <c r="J137" s="359">
        <f t="shared" ca="1" si="72"/>
        <v>12.603965635356587</v>
      </c>
      <c r="K137" s="360">
        <f t="shared" ca="1" si="73"/>
        <v>63.45027673950603</v>
      </c>
      <c r="L137" s="357">
        <f t="shared" ca="1" si="58"/>
        <v>64.690011346862121</v>
      </c>
      <c r="M137" s="359">
        <f t="shared" ca="1" si="74"/>
        <v>1.3627395283581685</v>
      </c>
      <c r="N137" s="357">
        <f t="shared" ca="1" si="75"/>
        <v>78.079223550571413</v>
      </c>
      <c r="O137" s="343"/>
      <c r="P137" s="363">
        <f t="shared" ca="1" si="76"/>
        <v>7</v>
      </c>
      <c r="Q137" s="357">
        <f t="shared" ca="1" si="77"/>
        <v>992.7311688311687</v>
      </c>
      <c r="R137" s="359">
        <f t="shared" ca="1" si="78"/>
        <v>0.49729106884870744</v>
      </c>
      <c r="S137" s="360">
        <f t="shared" ca="1" si="79"/>
        <v>11.831229145000718</v>
      </c>
      <c r="T137" s="357">
        <f t="shared" ca="1" si="59"/>
        <v>116.06435791245704</v>
      </c>
      <c r="U137" s="364">
        <f t="shared" ca="1" si="60"/>
        <v>0</v>
      </c>
      <c r="V137" s="359">
        <f t="shared" ca="1" si="61"/>
        <v>1.217251921984126</v>
      </c>
      <c r="W137" s="357">
        <f t="shared" ca="1" si="62"/>
        <v>26.564291486967935</v>
      </c>
      <c r="X137" s="343"/>
      <c r="Y137" s="367" t="str">
        <f t="shared" ca="1" si="80"/>
        <v/>
      </c>
      <c r="Z137" s="368" t="str">
        <f t="shared" ca="1" si="81"/>
        <v/>
      </c>
      <c r="AA137" s="369" t="str">
        <f t="shared" ca="1" si="82"/>
        <v/>
      </c>
      <c r="AB137" s="344"/>
      <c r="AC137" s="363" t="e">
        <f t="shared" ca="1" si="83"/>
        <v>#N/A</v>
      </c>
      <c r="AD137" s="376" t="e">
        <f t="shared" ca="1" si="84"/>
        <v>#N/A</v>
      </c>
      <c r="AE137" s="377">
        <f t="shared" ca="1" si="63"/>
        <v>63.45027673950603</v>
      </c>
      <c r="AF137" s="344"/>
      <c r="AG137" s="359">
        <f t="shared" ca="1" si="85"/>
        <v>72.096352126499625</v>
      </c>
      <c r="AH137" s="357">
        <f t="shared" ca="1" si="86"/>
        <v>81.695210513574168</v>
      </c>
    </row>
    <row r="138" spans="1:34" x14ac:dyDescent="0.25">
      <c r="A138" s="402">
        <f t="shared" ca="1" si="64"/>
        <v>0.01</v>
      </c>
      <c r="B138" s="357">
        <f t="shared" ca="1" si="65"/>
        <v>1.340000000000001</v>
      </c>
      <c r="C138" s="342"/>
      <c r="D138" s="359">
        <f t="shared" ca="1" si="66"/>
        <v>16.853190005720705</v>
      </c>
      <c r="E138" s="360">
        <f t="shared" ca="1" si="67"/>
        <v>70.020638678156828</v>
      </c>
      <c r="F138" s="357">
        <f t="shared" ca="1" si="68"/>
        <v>72.020273911350245</v>
      </c>
      <c r="G138" s="359">
        <f t="shared" ca="1" si="69"/>
        <v>20.361628704427062</v>
      </c>
      <c r="H138" s="360">
        <f t="shared" ca="1" si="70"/>
        <v>96.351404423206802</v>
      </c>
      <c r="I138" s="357">
        <f t="shared" ca="1" si="71"/>
        <v>98.479383922835865</v>
      </c>
      <c r="J138" s="359">
        <f t="shared" ca="1" si="72"/>
        <v>12.806739262900573</v>
      </c>
      <c r="K138" s="360">
        <f t="shared" ca="1" si="73"/>
        <v>64.410289751804186</v>
      </c>
      <c r="L138" s="357">
        <f t="shared" ca="1" si="58"/>
        <v>65.67113518479249</v>
      </c>
      <c r="M138" s="359">
        <f t="shared" ca="1" si="74"/>
        <v>1.3625337651124076</v>
      </c>
      <c r="N138" s="357">
        <f t="shared" ca="1" si="75"/>
        <v>78.067434185010413</v>
      </c>
      <c r="O138" s="343"/>
      <c r="P138" s="363">
        <f t="shared" ca="1" si="76"/>
        <v>7</v>
      </c>
      <c r="Q138" s="357">
        <f t="shared" ca="1" si="77"/>
        <v>991.47142857142842</v>
      </c>
      <c r="R138" s="359">
        <f t="shared" ca="1" si="78"/>
        <v>0.49666002431227407</v>
      </c>
      <c r="S138" s="360">
        <f t="shared" ca="1" si="79"/>
        <v>11.826262544757595</v>
      </c>
      <c r="T138" s="357">
        <f t="shared" ca="1" si="59"/>
        <v>116.01563556407201</v>
      </c>
      <c r="U138" s="364">
        <f t="shared" ca="1" si="60"/>
        <v>0</v>
      </c>
      <c r="V138" s="359">
        <f t="shared" ca="1" si="61"/>
        <v>1.2171350686308222</v>
      </c>
      <c r="W138" s="357">
        <f t="shared" ca="1" si="62"/>
        <v>26.954393513074958</v>
      </c>
      <c r="X138" s="343"/>
      <c r="Y138" s="367" t="str">
        <f t="shared" ca="1" si="80"/>
        <v/>
      </c>
      <c r="Z138" s="368" t="str">
        <f t="shared" ca="1" si="81"/>
        <v/>
      </c>
      <c r="AA138" s="369" t="str">
        <f t="shared" ca="1" si="82"/>
        <v/>
      </c>
      <c r="AB138" s="344"/>
      <c r="AC138" s="363" t="e">
        <f t="shared" ca="1" si="83"/>
        <v>#N/A</v>
      </c>
      <c r="AD138" s="376" t="e">
        <f t="shared" ca="1" si="84"/>
        <v>#N/A</v>
      </c>
      <c r="AE138" s="377">
        <f t="shared" ca="1" si="63"/>
        <v>64.410289751804186</v>
      </c>
      <c r="AF138" s="344"/>
      <c r="AG138" s="359">
        <f t="shared" ca="1" si="85"/>
        <v>71.991761926342434</v>
      </c>
      <c r="AH138" s="357">
        <f t="shared" ca="1" si="86"/>
        <v>81.590200913659686</v>
      </c>
    </row>
    <row r="139" spans="1:34" x14ac:dyDescent="0.25">
      <c r="A139" s="402">
        <f t="shared" ca="1" si="64"/>
        <v>0.01</v>
      </c>
      <c r="B139" s="357">
        <f t="shared" ca="1" si="65"/>
        <v>1.350000000000001</v>
      </c>
      <c r="C139" s="342"/>
      <c r="D139" s="359">
        <f t="shared" ca="1" si="66"/>
        <v>16.84783790997049</v>
      </c>
      <c r="E139" s="360">
        <f t="shared" ca="1" si="67"/>
        <v>69.914115771115078</v>
      </c>
      <c r="F139" s="357">
        <f t="shared" ca="1" si="68"/>
        <v>71.915458882618012</v>
      </c>
      <c r="G139" s="359">
        <f t="shared" ca="1" si="69"/>
        <v>20.530107083526769</v>
      </c>
      <c r="H139" s="360">
        <f t="shared" ca="1" si="70"/>
        <v>97.050545580917955</v>
      </c>
      <c r="I139" s="357">
        <f t="shared" ca="1" si="71"/>
        <v>99.198254492782837</v>
      </c>
      <c r="J139" s="359">
        <f t="shared" ca="1" si="72"/>
        <v>13.011197941840342</v>
      </c>
      <c r="K139" s="360">
        <f t="shared" ca="1" si="73"/>
        <v>65.377299501824808</v>
      </c>
      <c r="L139" s="357">
        <f t="shared" ca="1" si="58"/>
        <v>66.659452158212744</v>
      </c>
      <c r="M139" s="359">
        <f t="shared" ca="1" si="74"/>
        <v>1.3623292939005998</v>
      </c>
      <c r="N139" s="357">
        <f t="shared" ca="1" si="75"/>
        <v>78.055718847541897</v>
      </c>
      <c r="O139" s="343"/>
      <c r="P139" s="363">
        <f t="shared" ca="1" si="76"/>
        <v>7</v>
      </c>
      <c r="Q139" s="357">
        <f t="shared" ca="1" si="77"/>
        <v>990.21168831168814</v>
      </c>
      <c r="R139" s="359">
        <f t="shared" ca="1" si="78"/>
        <v>0.49602897977584076</v>
      </c>
      <c r="S139" s="360">
        <f t="shared" ca="1" si="79"/>
        <v>11.821302254959837</v>
      </c>
      <c r="T139" s="357">
        <f t="shared" ca="1" si="59"/>
        <v>115.96697512115601</v>
      </c>
      <c r="U139" s="364">
        <f t="shared" ca="1" si="60"/>
        <v>0</v>
      </c>
      <c r="V139" s="359">
        <f t="shared" ca="1" si="61"/>
        <v>1.2170173749345121</v>
      </c>
      <c r="W139" s="357">
        <f t="shared" ca="1" si="62"/>
        <v>27.346703495681439</v>
      </c>
      <c r="X139" s="343"/>
      <c r="Y139" s="367" t="str">
        <f t="shared" ca="1" si="80"/>
        <v/>
      </c>
      <c r="Z139" s="368" t="str">
        <f t="shared" ca="1" si="81"/>
        <v/>
      </c>
      <c r="AA139" s="369" t="str">
        <f t="shared" ca="1" si="82"/>
        <v/>
      </c>
      <c r="AB139" s="344"/>
      <c r="AC139" s="363" t="e">
        <f t="shared" ca="1" si="83"/>
        <v>#N/A</v>
      </c>
      <c r="AD139" s="376" t="e">
        <f t="shared" ca="1" si="84"/>
        <v>#N/A</v>
      </c>
      <c r="AE139" s="377">
        <f t="shared" ca="1" si="63"/>
        <v>65.377299501824808</v>
      </c>
      <c r="AF139" s="344"/>
      <c r="AG139" s="359">
        <f t="shared" ca="1" si="85"/>
        <v>71.88684962830277</v>
      </c>
      <c r="AH139" s="357">
        <f t="shared" ca="1" si="86"/>
        <v>81.484871465363426</v>
      </c>
    </row>
    <row r="140" spans="1:34" x14ac:dyDescent="0.25">
      <c r="A140" s="402">
        <f t="shared" ca="1" si="64"/>
        <v>0.01</v>
      </c>
      <c r="B140" s="357">
        <f t="shared" ca="1" si="65"/>
        <v>1.360000000000001</v>
      </c>
      <c r="C140" s="342"/>
      <c r="D140" s="359">
        <f t="shared" ca="1" si="66"/>
        <v>16.842273855010905</v>
      </c>
      <c r="E140" s="360">
        <f t="shared" ca="1" si="67"/>
        <v>69.807308365799656</v>
      </c>
      <c r="F140" s="357">
        <f t="shared" ca="1" si="68"/>
        <v>71.810323003625513</v>
      </c>
      <c r="G140" s="359">
        <f t="shared" ca="1" si="69"/>
        <v>20.698529822076878</v>
      </c>
      <c r="H140" s="360">
        <f t="shared" ca="1" si="70"/>
        <v>97.748618664575957</v>
      </c>
      <c r="I140" s="357">
        <f t="shared" ca="1" si="71"/>
        <v>99.916072719198155</v>
      </c>
      <c r="J140" s="359">
        <f t="shared" ca="1" si="72"/>
        <v>13.21734112636836</v>
      </c>
      <c r="K140" s="360">
        <f t="shared" ca="1" si="73"/>
        <v>66.351295323052284</v>
      </c>
      <c r="L140" s="357">
        <f t="shared" ca="1" si="58"/>
        <v>67.654951758889666</v>
      </c>
      <c r="M140" s="359">
        <f t="shared" ca="1" si="74"/>
        <v>1.3621260952407783</v>
      </c>
      <c r="N140" s="357">
        <f t="shared" ca="1" si="75"/>
        <v>78.044076421931408</v>
      </c>
      <c r="O140" s="343"/>
      <c r="P140" s="363">
        <f t="shared" ca="1" si="76"/>
        <v>7</v>
      </c>
      <c r="Q140" s="357">
        <f t="shared" ca="1" si="77"/>
        <v>988.95194805194785</v>
      </c>
      <c r="R140" s="359">
        <f t="shared" ca="1" si="78"/>
        <v>0.49539793523940739</v>
      </c>
      <c r="S140" s="360">
        <f t="shared" ca="1" si="79"/>
        <v>11.816348275607444</v>
      </c>
      <c r="T140" s="357">
        <f t="shared" ca="1" si="59"/>
        <v>115.91837658370903</v>
      </c>
      <c r="U140" s="364">
        <f t="shared" ca="1" si="60"/>
        <v>0</v>
      </c>
      <c r="V140" s="359">
        <f t="shared" ca="1" si="61"/>
        <v>1.2168988424378195</v>
      </c>
      <c r="W140" s="357">
        <f t="shared" ca="1" si="62"/>
        <v>27.741205627367471</v>
      </c>
      <c r="X140" s="343"/>
      <c r="Y140" s="367" t="str">
        <f t="shared" ca="1" si="80"/>
        <v/>
      </c>
      <c r="Z140" s="368" t="str">
        <f t="shared" ca="1" si="81"/>
        <v/>
      </c>
      <c r="AA140" s="369" t="str">
        <f t="shared" ca="1" si="82"/>
        <v/>
      </c>
      <c r="AB140" s="344"/>
      <c r="AC140" s="363" t="e">
        <f t="shared" ca="1" si="83"/>
        <v>#N/A</v>
      </c>
      <c r="AD140" s="376" t="e">
        <f t="shared" ca="1" si="84"/>
        <v>#N/A</v>
      </c>
      <c r="AE140" s="377">
        <f t="shared" ca="1" si="63"/>
        <v>66.351295323052284</v>
      </c>
      <c r="AF140" s="344"/>
      <c r="AG140" s="359">
        <f t="shared" ca="1" si="85"/>
        <v>71.781616366321771</v>
      </c>
      <c r="AH140" s="357">
        <f t="shared" ca="1" si="86"/>
        <v>81.379223269960107</v>
      </c>
    </row>
    <row r="141" spans="1:34" x14ac:dyDescent="0.25">
      <c r="A141" s="402">
        <f t="shared" ca="1" si="64"/>
        <v>0.01</v>
      </c>
      <c r="B141" s="357">
        <f t="shared" ca="1" si="65"/>
        <v>1.370000000000001</v>
      </c>
      <c r="C141" s="342"/>
      <c r="D141" s="359">
        <f t="shared" ca="1" si="66"/>
        <v>16.836499843857514</v>
      </c>
      <c r="E141" s="360">
        <f t="shared" ca="1" si="67"/>
        <v>69.700217248767245</v>
      </c>
      <c r="F141" s="357">
        <f t="shared" ca="1" si="68"/>
        <v>71.70486741858997</v>
      </c>
      <c r="G141" s="359">
        <f t="shared" ca="1" si="69"/>
        <v>20.866894820515455</v>
      </c>
      <c r="H141" s="360">
        <f t="shared" ca="1" si="70"/>
        <v>98.445620837063629</v>
      </c>
      <c r="I141" s="357">
        <f t="shared" ca="1" si="71"/>
        <v>100.63283540398407</v>
      </c>
      <c r="J141" s="359">
        <f t="shared" ca="1" si="72"/>
        <v>13.425168249581322</v>
      </c>
      <c r="K141" s="360">
        <f t="shared" ca="1" si="73"/>
        <v>67.332266520560481</v>
      </c>
      <c r="L141" s="357">
        <f t="shared" ca="1" si="58"/>
        <v>68.657623446528916</v>
      </c>
      <c r="M141" s="359">
        <f t="shared" ca="1" si="74"/>
        <v>1.3619241500826467</v>
      </c>
      <c r="N141" s="357">
        <f t="shared" ca="1" si="75"/>
        <v>78.032505816677357</v>
      </c>
      <c r="O141" s="343"/>
      <c r="P141" s="363">
        <f t="shared" ca="1" si="76"/>
        <v>7</v>
      </c>
      <c r="Q141" s="357">
        <f t="shared" ca="1" si="77"/>
        <v>987.69220779220768</v>
      </c>
      <c r="R141" s="359">
        <f t="shared" ca="1" si="78"/>
        <v>0.49476689070297414</v>
      </c>
      <c r="S141" s="360">
        <f t="shared" ca="1" si="79"/>
        <v>11.811400606700415</v>
      </c>
      <c r="T141" s="357">
        <f t="shared" ca="1" si="59"/>
        <v>115.86983995173108</v>
      </c>
      <c r="U141" s="364">
        <f t="shared" ca="1" si="60"/>
        <v>0</v>
      </c>
      <c r="V141" s="359">
        <f t="shared" ca="1" si="61"/>
        <v>1.216779472688027</v>
      </c>
      <c r="W141" s="357">
        <f t="shared" ca="1" si="62"/>
        <v>28.137884072521622</v>
      </c>
      <c r="X141" s="343"/>
      <c r="Y141" s="367" t="str">
        <f t="shared" ca="1" si="80"/>
        <v/>
      </c>
      <c r="Z141" s="368" t="str">
        <f t="shared" ca="1" si="81"/>
        <v/>
      </c>
      <c r="AA141" s="369" t="str">
        <f t="shared" ca="1" si="82"/>
        <v/>
      </c>
      <c r="AB141" s="344"/>
      <c r="AC141" s="363" t="e">
        <f t="shared" ca="1" si="83"/>
        <v>#N/A</v>
      </c>
      <c r="AD141" s="376" t="e">
        <f t="shared" ca="1" si="84"/>
        <v>#N/A</v>
      </c>
      <c r="AE141" s="377">
        <f t="shared" ca="1" si="63"/>
        <v>67.332266520560481</v>
      </c>
      <c r="AF141" s="344"/>
      <c r="AG141" s="359">
        <f t="shared" ca="1" si="85"/>
        <v>71.676063278949101</v>
      </c>
      <c r="AH141" s="357">
        <f t="shared" ca="1" si="86"/>
        <v>81.273257434031635</v>
      </c>
    </row>
    <row r="142" spans="1:34" x14ac:dyDescent="0.25">
      <c r="A142" s="402">
        <f t="shared" ca="1" si="64"/>
        <v>0.01</v>
      </c>
      <c r="B142" s="357">
        <f t="shared" ca="1" si="65"/>
        <v>1.380000000000001</v>
      </c>
      <c r="C142" s="342"/>
      <c r="D142" s="359">
        <f t="shared" ca="1" si="66"/>
        <v>16.830517841157672</v>
      </c>
      <c r="E142" s="360">
        <f t="shared" ca="1" si="67"/>
        <v>69.592843218103383</v>
      </c>
      <c r="F142" s="357">
        <f t="shared" ca="1" si="68"/>
        <v>71.599093276249278</v>
      </c>
      <c r="G142" s="359">
        <f t="shared" ca="1" si="69"/>
        <v>21.03519999892703</v>
      </c>
      <c r="H142" s="360">
        <f t="shared" ca="1" si="70"/>
        <v>99.141549269244663</v>
      </c>
      <c r="I142" s="357">
        <f t="shared" ca="1" si="71"/>
        <v>101.34853936047094</v>
      </c>
      <c r="J142" s="359">
        <f t="shared" ca="1" si="72"/>
        <v>13.634678723678535</v>
      </c>
      <c r="K142" s="360">
        <f t="shared" ca="1" si="73"/>
        <v>68.320202371092023</v>
      </c>
      <c r="L142" s="357">
        <f t="shared" ca="1" si="58"/>
        <v>69.667456648889512</v>
      </c>
      <c r="M142" s="359">
        <f t="shared" ca="1" si="74"/>
        <v>1.3617234397947622</v>
      </c>
      <c r="N142" s="357">
        <f t="shared" ca="1" si="75"/>
        <v>78.021005964276725</v>
      </c>
      <c r="O142" s="343"/>
      <c r="P142" s="363">
        <f t="shared" ca="1" si="76"/>
        <v>7</v>
      </c>
      <c r="Q142" s="357">
        <f t="shared" ca="1" si="77"/>
        <v>986.4324675324674</v>
      </c>
      <c r="R142" s="359">
        <f t="shared" ca="1" si="78"/>
        <v>0.49413584616654077</v>
      </c>
      <c r="S142" s="360">
        <f t="shared" ca="1" si="79"/>
        <v>11.806459248238749</v>
      </c>
      <c r="T142" s="357">
        <f t="shared" ca="1" si="59"/>
        <v>115.82136522522214</v>
      </c>
      <c r="U142" s="364">
        <f t="shared" ca="1" si="60"/>
        <v>0</v>
      </c>
      <c r="V142" s="359">
        <f t="shared" ca="1" si="61"/>
        <v>1.2166592672370558</v>
      </c>
      <c r="W142" s="357">
        <f t="shared" ca="1" si="62"/>
        <v>28.536722967929169</v>
      </c>
      <c r="X142" s="343"/>
      <c r="Y142" s="367" t="str">
        <f t="shared" ca="1" si="80"/>
        <v/>
      </c>
      <c r="Z142" s="368" t="str">
        <f t="shared" ca="1" si="81"/>
        <v/>
      </c>
      <c r="AA142" s="369" t="str">
        <f t="shared" ca="1" si="82"/>
        <v/>
      </c>
      <c r="AB142" s="344"/>
      <c r="AC142" s="363" t="e">
        <f t="shared" ca="1" si="83"/>
        <v>#N/A</v>
      </c>
      <c r="AD142" s="376" t="e">
        <f t="shared" ca="1" si="84"/>
        <v>#N/A</v>
      </c>
      <c r="AE142" s="377">
        <f t="shared" ca="1" si="63"/>
        <v>68.320202371092023</v>
      </c>
      <c r="AF142" s="344"/>
      <c r="AG142" s="359">
        <f t="shared" ca="1" si="85"/>
        <v>71.570191509318491</v>
      </c>
      <c r="AH142" s="357">
        <f t="shared" ca="1" si="86"/>
        <v>81.166975069422378</v>
      </c>
    </row>
    <row r="143" spans="1:34" x14ac:dyDescent="0.25">
      <c r="A143" s="402">
        <f t="shared" ca="1" si="64"/>
        <v>0.01</v>
      </c>
      <c r="B143" s="357">
        <f t="shared" ca="1" si="65"/>
        <v>1.390000000000001</v>
      </c>
      <c r="C143" s="342"/>
      <c r="D143" s="359">
        <f t="shared" ca="1" si="66"/>
        <v>16.824329774365559</v>
      </c>
      <c r="E143" s="360">
        <f t="shared" ca="1" si="67"/>
        <v>69.485187083192201</v>
      </c>
      <c r="F143" s="357">
        <f t="shared" ca="1" si="68"/>
        <v>71.493001729839435</v>
      </c>
      <c r="G143" s="359">
        <f t="shared" ca="1" si="69"/>
        <v>21.203443296670685</v>
      </c>
      <c r="H143" s="360">
        <f t="shared" ca="1" si="70"/>
        <v>99.836401140076589</v>
      </c>
      <c r="I143" s="357">
        <f t="shared" ca="1" si="71"/>
        <v>102.06318141346279</v>
      </c>
      <c r="J143" s="359">
        <f t="shared" ca="1" si="72"/>
        <v>13.845871940156524</v>
      </c>
      <c r="K143" s="360">
        <f t="shared" ca="1" si="73"/>
        <v>69.315092123138626</v>
      </c>
      <c r="L143" s="357">
        <f t="shared" ca="1" si="58"/>
        <v>70.684440761898998</v>
      </c>
      <c r="M143" s="359">
        <f t="shared" ca="1" si="74"/>
        <v>1.3615239461521942</v>
      </c>
      <c r="N143" s="357">
        <f t="shared" ca="1" si="75"/>
        <v>78.009575820517881</v>
      </c>
      <c r="O143" s="343"/>
      <c r="P143" s="363">
        <f t="shared" ca="1" si="76"/>
        <v>7</v>
      </c>
      <c r="Q143" s="357">
        <f t="shared" ca="1" si="77"/>
        <v>985.17272727272712</v>
      </c>
      <c r="R143" s="359">
        <f t="shared" ca="1" si="78"/>
        <v>0.49350480163010746</v>
      </c>
      <c r="S143" s="360">
        <f t="shared" ca="1" si="79"/>
        <v>11.801524200222447</v>
      </c>
      <c r="T143" s="357">
        <f t="shared" ca="1" si="59"/>
        <v>115.77295240418221</v>
      </c>
      <c r="U143" s="364">
        <f t="shared" ca="1" si="60"/>
        <v>0</v>
      </c>
      <c r="V143" s="359">
        <f t="shared" ca="1" si="61"/>
        <v>1.2165382276414436</v>
      </c>
      <c r="W143" s="357">
        <f t="shared" ca="1" si="62"/>
        <v>28.937706423360439</v>
      </c>
      <c r="X143" s="343"/>
      <c r="Y143" s="367" t="str">
        <f t="shared" ca="1" si="80"/>
        <v/>
      </c>
      <c r="Z143" s="368" t="str">
        <f t="shared" ca="1" si="81"/>
        <v/>
      </c>
      <c r="AA143" s="369" t="str">
        <f t="shared" ca="1" si="82"/>
        <v/>
      </c>
      <c r="AB143" s="344"/>
      <c r="AC143" s="363" t="e">
        <f t="shared" ca="1" si="83"/>
        <v>#N/A</v>
      </c>
      <c r="AD143" s="376" t="e">
        <f t="shared" ca="1" si="84"/>
        <v>#N/A</v>
      </c>
      <c r="AE143" s="377">
        <f t="shared" ca="1" si="63"/>
        <v>69.315092123138626</v>
      </c>
      <c r="AF143" s="344"/>
      <c r="AG143" s="359">
        <f t="shared" ca="1" si="85"/>
        <v>71.464002205122753</v>
      </c>
      <c r="AH143" s="357">
        <f t="shared" ca="1" si="86"/>
        <v>81.060377293194577</v>
      </c>
    </row>
    <row r="144" spans="1:34" x14ac:dyDescent="0.25">
      <c r="A144" s="402">
        <f t="shared" ca="1" si="64"/>
        <v>0.01</v>
      </c>
      <c r="B144" s="357">
        <f t="shared" ca="1" si="65"/>
        <v>1.400000000000001</v>
      </c>
      <c r="C144" s="342"/>
      <c r="D144" s="359">
        <f t="shared" ca="1" si="66"/>
        <v>16.817937534873359</v>
      </c>
      <c r="E144" s="360">
        <f t="shared" ca="1" si="67"/>
        <v>69.377249664492339</v>
      </c>
      <c r="F144" s="357">
        <f t="shared" ca="1" si="68"/>
        <v>71.3865939370706</v>
      </c>
      <c r="G144" s="359">
        <f t="shared" ca="1" si="69"/>
        <v>21.371622672019416</v>
      </c>
      <c r="H144" s="360">
        <f t="shared" ca="1" si="70"/>
        <v>100.53017363672151</v>
      </c>
      <c r="I144" s="357">
        <f t="shared" ca="1" si="71"/>
        <v>102.77675839928281</v>
      </c>
      <c r="J144" s="359">
        <f t="shared" ca="1" si="72"/>
        <v>14.058747269999975</v>
      </c>
      <c r="K144" s="360">
        <f t="shared" ca="1" si="73"/>
        <v>70.31692499702261</v>
      </c>
      <c r="L144" s="357">
        <f t="shared" ca="1" si="58"/>
        <v>71.708565149768788</v>
      </c>
      <c r="M144" s="359">
        <f t="shared" ca="1" si="74"/>
        <v>1.3613256513246368</v>
      </c>
      <c r="N144" s="357">
        <f t="shared" ca="1" si="75"/>
        <v>77.998214363799576</v>
      </c>
      <c r="O144" s="343"/>
      <c r="P144" s="363">
        <f t="shared" ca="1" si="76"/>
        <v>7</v>
      </c>
      <c r="Q144" s="357">
        <f t="shared" ca="1" si="77"/>
        <v>983.91298701298683</v>
      </c>
      <c r="R144" s="359">
        <f t="shared" ca="1" si="78"/>
        <v>0.49287375709367409</v>
      </c>
      <c r="S144" s="360">
        <f t="shared" ca="1" si="79"/>
        <v>11.79659546265151</v>
      </c>
      <c r="T144" s="357">
        <f t="shared" ca="1" si="59"/>
        <v>115.72460148861131</v>
      </c>
      <c r="U144" s="364">
        <f t="shared" ca="1" si="60"/>
        <v>0</v>
      </c>
      <c r="V144" s="359">
        <f t="shared" ca="1" si="61"/>
        <v>1.2164163554623224</v>
      </c>
      <c r="W144" s="357">
        <f t="shared" ca="1" si="62"/>
        <v>29.340818522159395</v>
      </c>
      <c r="X144" s="343"/>
      <c r="Y144" s="367" t="str">
        <f t="shared" ca="1" si="80"/>
        <v/>
      </c>
      <c r="Z144" s="368" t="str">
        <f t="shared" ca="1" si="81"/>
        <v/>
      </c>
      <c r="AA144" s="369" t="str">
        <f t="shared" ca="1" si="82"/>
        <v/>
      </c>
      <c r="AB144" s="344"/>
      <c r="AC144" s="363" t="e">
        <f t="shared" ca="1" si="83"/>
        <v>#N/A</v>
      </c>
      <c r="AD144" s="376" t="e">
        <f t="shared" ca="1" si="84"/>
        <v>#N/A</v>
      </c>
      <c r="AE144" s="377">
        <f t="shared" ca="1" si="63"/>
        <v>70.31692499702261</v>
      </c>
      <c r="AF144" s="344"/>
      <c r="AG144" s="359">
        <f t="shared" ca="1" si="85"/>
        <v>71.357496518587524</v>
      </c>
      <c r="AH144" s="357">
        <f t="shared" ca="1" si="86"/>
        <v>80.953465227583337</v>
      </c>
    </row>
    <row r="145" spans="1:34" x14ac:dyDescent="0.25">
      <c r="A145" s="402">
        <f t="shared" ca="1" si="64"/>
        <v>0.01</v>
      </c>
      <c r="B145" s="357">
        <f t="shared" ca="1" si="65"/>
        <v>1.410000000000001</v>
      </c>
      <c r="C145" s="342"/>
      <c r="D145" s="359">
        <f t="shared" ca="1" si="66"/>
        <v>16.811342979100459</v>
      </c>
      <c r="E145" s="360">
        <f t="shared" ca="1" si="67"/>
        <v>69.269031793319371</v>
      </c>
      <c r="F145" s="357">
        <f t="shared" ca="1" si="68"/>
        <v>71.279871060102522</v>
      </c>
      <c r="G145" s="359">
        <f t="shared" ca="1" si="69"/>
        <v>21.539736101810423</v>
      </c>
      <c r="H145" s="360">
        <f t="shared" ca="1" si="70"/>
        <v>101.22286395465471</v>
      </c>
      <c r="I145" s="357">
        <f t="shared" ca="1" si="71"/>
        <v>103.48926716581856</v>
      </c>
      <c r="J145" s="359">
        <f t="shared" ca="1" si="72"/>
        <v>14.273304063869125</v>
      </c>
      <c r="K145" s="360">
        <f t="shared" ca="1" si="73"/>
        <v>71.325690184979493</v>
      </c>
      <c r="L145" s="357">
        <f t="shared" ca="1" si="58"/>
        <v>72.739819145110218</v>
      </c>
      <c r="M145" s="359">
        <f t="shared" ca="1" si="74"/>
        <v>1.3611285378649545</v>
      </c>
      <c r="N145" s="357">
        <f t="shared" ca="1" si="75"/>
        <v>77.986920594474554</v>
      </c>
      <c r="O145" s="343"/>
      <c r="P145" s="363">
        <f t="shared" ca="1" si="76"/>
        <v>7</v>
      </c>
      <c r="Q145" s="357">
        <f t="shared" ca="1" si="77"/>
        <v>982.65324675324655</v>
      </c>
      <c r="R145" s="359">
        <f t="shared" ca="1" si="78"/>
        <v>0.49224271255724078</v>
      </c>
      <c r="S145" s="360">
        <f t="shared" ca="1" si="79"/>
        <v>11.791673035525937</v>
      </c>
      <c r="T145" s="357">
        <f t="shared" ca="1" si="59"/>
        <v>115.67631247850944</v>
      </c>
      <c r="U145" s="364">
        <f t="shared" ca="1" si="60"/>
        <v>0</v>
      </c>
      <c r="V145" s="359">
        <f t="shared" ca="1" si="61"/>
        <v>1.2162936522653982</v>
      </c>
      <c r="W145" s="357">
        <f t="shared" ca="1" si="62"/>
        <v>29.746043321832541</v>
      </c>
      <c r="X145" s="343"/>
      <c r="Y145" s="367" t="str">
        <f t="shared" ca="1" si="80"/>
        <v/>
      </c>
      <c r="Z145" s="368" t="str">
        <f t="shared" ca="1" si="81"/>
        <v/>
      </c>
      <c r="AA145" s="369" t="str">
        <f t="shared" ca="1" si="82"/>
        <v/>
      </c>
      <c r="AB145" s="344"/>
      <c r="AC145" s="363" t="e">
        <f t="shared" ca="1" si="83"/>
        <v>#N/A</v>
      </c>
      <c r="AD145" s="376" t="e">
        <f t="shared" ca="1" si="84"/>
        <v>#N/A</v>
      </c>
      <c r="AE145" s="377">
        <f t="shared" ca="1" si="63"/>
        <v>71.325690184979493</v>
      </c>
      <c r="AF145" s="344"/>
      <c r="AG145" s="359">
        <f t="shared" ca="1" si="85"/>
        <v>71.250675606444474</v>
      </c>
      <c r="AH145" s="357">
        <f t="shared" ca="1" si="86"/>
        <v>80.84623999995155</v>
      </c>
    </row>
    <row r="146" spans="1:34" x14ac:dyDescent="0.25">
      <c r="A146" s="402">
        <f t="shared" ca="1" si="64"/>
        <v>0.01</v>
      </c>
      <c r="B146" s="357">
        <f t="shared" ca="1" si="65"/>
        <v>1.420000000000001</v>
      </c>
      <c r="C146" s="342"/>
      <c r="D146" s="359">
        <f t="shared" ca="1" si="66"/>
        <v>16.804547929542601</v>
      </c>
      <c r="E146" s="360">
        <f t="shared" ca="1" si="67"/>
        <v>69.160534311634123</v>
      </c>
      <c r="F146" s="357">
        <f t="shared" ca="1" si="68"/>
        <v>71.172834265518858</v>
      </c>
      <c r="G146" s="359">
        <f t="shared" ca="1" si="69"/>
        <v>21.707781581105849</v>
      </c>
      <c r="H146" s="360">
        <f t="shared" ca="1" si="70"/>
        <v>101.91446929777105</v>
      </c>
      <c r="I146" s="357">
        <f t="shared" ca="1" si="71"/>
        <v>104.20070457256666</v>
      </c>
      <c r="J146" s="359">
        <f t="shared" ca="1" si="72"/>
        <v>14.489541652283705</v>
      </c>
      <c r="K146" s="360">
        <f t="shared" ca="1" si="73"/>
        <v>72.34137685124162</v>
      </c>
      <c r="L146" s="357">
        <f t="shared" ca="1" si="58"/>
        <v>73.778192049050801</v>
      </c>
      <c r="M146" s="359">
        <f t="shared" ca="1" si="74"/>
        <v>1.3609325886981434</v>
      </c>
      <c r="N146" s="357">
        <f t="shared" ca="1" si="75"/>
        <v>77.975693534217172</v>
      </c>
      <c r="O146" s="343"/>
      <c r="P146" s="363">
        <f t="shared" ca="1" si="76"/>
        <v>7</v>
      </c>
      <c r="Q146" s="357">
        <f t="shared" ca="1" si="77"/>
        <v>981.39350649350638</v>
      </c>
      <c r="R146" s="359">
        <f t="shared" ca="1" si="78"/>
        <v>0.49161166802080747</v>
      </c>
      <c r="S146" s="360">
        <f t="shared" ca="1" si="79"/>
        <v>11.786756918845729</v>
      </c>
      <c r="T146" s="357">
        <f t="shared" ca="1" si="59"/>
        <v>115.6280853738766</v>
      </c>
      <c r="U146" s="364">
        <f t="shared" ca="1" si="60"/>
        <v>0</v>
      </c>
      <c r="V146" s="359">
        <f t="shared" ca="1" si="61"/>
        <v>1.2161701196209258</v>
      </c>
      <c r="W146" s="357">
        <f t="shared" ca="1" si="62"/>
        <v>30.153364854637648</v>
      </c>
      <c r="X146" s="343"/>
      <c r="Y146" s="367" t="str">
        <f t="shared" ca="1" si="80"/>
        <v/>
      </c>
      <c r="Z146" s="368" t="str">
        <f t="shared" ca="1" si="81"/>
        <v/>
      </c>
      <c r="AA146" s="369" t="str">
        <f t="shared" ca="1" si="82"/>
        <v/>
      </c>
      <c r="AB146" s="344"/>
      <c r="AC146" s="363" t="e">
        <f t="shared" ca="1" si="83"/>
        <v>#N/A</v>
      </c>
      <c r="AD146" s="376" t="e">
        <f t="shared" ca="1" si="84"/>
        <v>#N/A</v>
      </c>
      <c r="AE146" s="377">
        <f t="shared" ca="1" si="63"/>
        <v>72.34137685124162</v>
      </c>
      <c r="AF146" s="344"/>
      <c r="AG146" s="359">
        <f t="shared" ca="1" si="85"/>
        <v>71.143540629903427</v>
      </c>
      <c r="AH146" s="357">
        <f t="shared" ca="1" si="86"/>
        <v>80.738702742744621</v>
      </c>
    </row>
    <row r="147" spans="1:34" x14ac:dyDescent="0.25">
      <c r="A147" s="402">
        <f t="shared" ca="1" si="64"/>
        <v>0.01</v>
      </c>
      <c r="B147" s="357">
        <f t="shared" ca="1" si="65"/>
        <v>1.430000000000001</v>
      </c>
      <c r="C147" s="342"/>
      <c r="D147" s="359">
        <f t="shared" ca="1" si="66"/>
        <v>16.797554175782636</v>
      </c>
      <c r="E147" s="360">
        <f t="shared" ca="1" si="67"/>
        <v>69.051758071836844</v>
      </c>
      <c r="F147" s="357">
        <f t="shared" ca="1" si="68"/>
        <v>71.065484724300845</v>
      </c>
      <c r="G147" s="359">
        <f t="shared" ca="1" si="69"/>
        <v>21.875757122863675</v>
      </c>
      <c r="H147" s="360">
        <f t="shared" ca="1" si="70"/>
        <v>102.60498687848941</v>
      </c>
      <c r="I147" s="357">
        <f t="shared" ca="1" si="71"/>
        <v>104.91106749067757</v>
      </c>
      <c r="J147" s="359">
        <f t="shared" ca="1" si="72"/>
        <v>14.707459345803553</v>
      </c>
      <c r="K147" s="360">
        <f t="shared" ca="1" si="73"/>
        <v>73.36397413212292</v>
      </c>
      <c r="L147" s="357">
        <f t="shared" ca="1" si="58"/>
        <v>74.823673131351043</v>
      </c>
      <c r="M147" s="359">
        <f t="shared" ca="1" si="74"/>
        <v>1.3607377871106878</v>
      </c>
      <c r="N147" s="357">
        <f t="shared" ca="1" si="75"/>
        <v>77.964532225413521</v>
      </c>
      <c r="O147" s="343"/>
      <c r="P147" s="363">
        <f t="shared" ca="1" si="76"/>
        <v>7</v>
      </c>
      <c r="Q147" s="357">
        <f t="shared" ca="1" si="77"/>
        <v>980.1337662337661</v>
      </c>
      <c r="R147" s="359">
        <f t="shared" ca="1" si="78"/>
        <v>0.4909806234843741</v>
      </c>
      <c r="S147" s="360">
        <f t="shared" ca="1" si="79"/>
        <v>11.781847112610885</v>
      </c>
      <c r="T147" s="357">
        <f t="shared" ca="1" si="59"/>
        <v>115.57992017471278</v>
      </c>
      <c r="U147" s="364">
        <f t="shared" ca="1" si="60"/>
        <v>0</v>
      </c>
      <c r="V147" s="359">
        <f t="shared" ca="1" si="61"/>
        <v>1.2160457591036895</v>
      </c>
      <c r="W147" s="357">
        <f t="shared" ca="1" si="62"/>
        <v>30.562767128172915</v>
      </c>
      <c r="X147" s="343"/>
      <c r="Y147" s="367" t="str">
        <f t="shared" ca="1" si="80"/>
        <v/>
      </c>
      <c r="Z147" s="368" t="str">
        <f t="shared" ca="1" si="81"/>
        <v/>
      </c>
      <c r="AA147" s="369" t="str">
        <f t="shared" ca="1" si="82"/>
        <v/>
      </c>
      <c r="AB147" s="344"/>
      <c r="AC147" s="363" t="e">
        <f t="shared" ca="1" si="83"/>
        <v>#N/A</v>
      </c>
      <c r="AD147" s="376" t="e">
        <f t="shared" ca="1" si="84"/>
        <v>#N/A</v>
      </c>
      <c r="AE147" s="377">
        <f t="shared" ca="1" si="63"/>
        <v>73.36397413212292</v>
      </c>
      <c r="AF147" s="344"/>
      <c r="AG147" s="359">
        <f t="shared" ca="1" si="85"/>
        <v>71.036092754623937</v>
      </c>
      <c r="AH147" s="357">
        <f t="shared" ca="1" si="86"/>
        <v>80.630854593445036</v>
      </c>
    </row>
    <row r="148" spans="1:34" x14ac:dyDescent="0.25">
      <c r="A148" s="402">
        <f t="shared" ca="1" si="64"/>
        <v>0.01</v>
      </c>
      <c r="B148" s="357">
        <f t="shared" ca="1" si="65"/>
        <v>1.4400000000000011</v>
      </c>
      <c r="C148" s="342"/>
      <c r="D148" s="359">
        <f t="shared" ca="1" si="66"/>
        <v>16.790363475464702</v>
      </c>
      <c r="E148" s="360">
        <f t="shared" ca="1" si="67"/>
        <v>68.942703936566701</v>
      </c>
      <c r="F148" s="357">
        <f t="shared" ca="1" si="68"/>
        <v>70.95782361179991</v>
      </c>
      <c r="G148" s="359">
        <f t="shared" ca="1" si="69"/>
        <v>22.043660757618323</v>
      </c>
      <c r="H148" s="360">
        <f t="shared" ca="1" si="70"/>
        <v>103.29441391785508</v>
      </c>
      <c r="I148" s="357">
        <f t="shared" ca="1" si="71"/>
        <v>105.62035280299973</v>
      </c>
      <c r="J148" s="359">
        <f t="shared" ca="1" si="72"/>
        <v>14.927056435205962</v>
      </c>
      <c r="K148" s="360">
        <f t="shared" ca="1" si="73"/>
        <v>74.393471136104637</v>
      </c>
      <c r="L148" s="357">
        <f t="shared" ca="1" si="58"/>
        <v>75.876251630521764</v>
      </c>
      <c r="M148" s="359">
        <f t="shared" ca="1" si="74"/>
        <v>1.3605441167402992</v>
      </c>
      <c r="N148" s="357">
        <f t="shared" ca="1" si="75"/>
        <v>77.953435730573517</v>
      </c>
      <c r="O148" s="343"/>
      <c r="P148" s="363">
        <f t="shared" ca="1" si="76"/>
        <v>7</v>
      </c>
      <c r="Q148" s="357">
        <f t="shared" ca="1" si="77"/>
        <v>978.87402597402581</v>
      </c>
      <c r="R148" s="359">
        <f t="shared" ca="1" si="78"/>
        <v>0.49034957894794079</v>
      </c>
      <c r="S148" s="360">
        <f t="shared" ca="1" si="79"/>
        <v>11.776943616821406</v>
      </c>
      <c r="T148" s="357">
        <f t="shared" ca="1" si="59"/>
        <v>115.53181688101799</v>
      </c>
      <c r="U148" s="364">
        <f t="shared" ca="1" si="60"/>
        <v>0</v>
      </c>
      <c r="V148" s="359">
        <f t="shared" ca="1" si="61"/>
        <v>1.2159205722929802</v>
      </c>
      <c r="W148" s="357">
        <f t="shared" ca="1" si="62"/>
        <v>30.974234125966024</v>
      </c>
      <c r="X148" s="343"/>
      <c r="Y148" s="367" t="str">
        <f t="shared" ca="1" si="80"/>
        <v/>
      </c>
      <c r="Z148" s="368" t="str">
        <f t="shared" ca="1" si="81"/>
        <v/>
      </c>
      <c r="AA148" s="369" t="str">
        <f t="shared" ca="1" si="82"/>
        <v/>
      </c>
      <c r="AB148" s="344"/>
      <c r="AC148" s="363" t="e">
        <f t="shared" ca="1" si="83"/>
        <v>#N/A</v>
      </c>
      <c r="AD148" s="376" t="e">
        <f t="shared" ca="1" si="84"/>
        <v>#N/A</v>
      </c>
      <c r="AE148" s="377">
        <f t="shared" ca="1" si="63"/>
        <v>74.393471136104637</v>
      </c>
      <c r="AF148" s="344"/>
      <c r="AG148" s="359">
        <f t="shared" ca="1" si="85"/>
        <v>70.928333150685916</v>
      </c>
      <c r="AH148" s="357">
        <f t="shared" ca="1" si="86"/>
        <v>80.522696694526743</v>
      </c>
    </row>
    <row r="149" spans="1:34" x14ac:dyDescent="0.25">
      <c r="A149" s="402">
        <f t="shared" ca="1" si="64"/>
        <v>0.01</v>
      </c>
      <c r="B149" s="357">
        <f t="shared" ca="1" si="65"/>
        <v>1.4500000000000011</v>
      </c>
      <c r="C149" s="342"/>
      <c r="D149" s="359">
        <f t="shared" ca="1" si="66"/>
        <v>16.782977555233106</v>
      </c>
      <c r="E149" s="360">
        <f t="shared" ca="1" si="67"/>
        <v>68.833372778506842</v>
      </c>
      <c r="F149" s="357">
        <f t="shared" ca="1" si="68"/>
        <v>70.849852107709765</v>
      </c>
      <c r="G149" s="359">
        <f t="shared" ca="1" si="69"/>
        <v>22.211490533170654</v>
      </c>
      <c r="H149" s="360">
        <f t="shared" ca="1" si="70"/>
        <v>103.98274764564015</v>
      </c>
      <c r="I149" s="357">
        <f t="shared" ca="1" si="71"/>
        <v>106.32855740412361</v>
      </c>
      <c r="J149" s="359">
        <f t="shared" ca="1" si="72"/>
        <v>15.148332191659907</v>
      </c>
      <c r="K149" s="360">
        <f t="shared" ca="1" si="73"/>
        <v>75.429856943922118</v>
      </c>
      <c r="L149" s="357">
        <f t="shared" ca="1" si="58"/>
        <v>76.935916753941626</v>
      </c>
      <c r="M149" s="359">
        <f t="shared" ca="1" si="74"/>
        <v>1.3603515615660158</v>
      </c>
      <c r="N149" s="357">
        <f t="shared" ca="1" si="75"/>
        <v>77.942403131763669</v>
      </c>
      <c r="O149" s="343"/>
      <c r="P149" s="363">
        <f t="shared" ca="1" si="76"/>
        <v>7</v>
      </c>
      <c r="Q149" s="357">
        <f t="shared" ca="1" si="77"/>
        <v>977.61428571428553</v>
      </c>
      <c r="R149" s="359">
        <f t="shared" ca="1" si="78"/>
        <v>0.48971853441150742</v>
      </c>
      <c r="S149" s="360">
        <f t="shared" ca="1" si="79"/>
        <v>11.772046431477291</v>
      </c>
      <c r="T149" s="357">
        <f t="shared" ca="1" si="59"/>
        <v>115.48377549279223</v>
      </c>
      <c r="U149" s="364">
        <f t="shared" ca="1" si="60"/>
        <v>0</v>
      </c>
      <c r="V149" s="359">
        <f t="shared" ca="1" si="61"/>
        <v>1.2157945607725711</v>
      </c>
      <c r="W149" s="357">
        <f t="shared" ca="1" si="62"/>
        <v>31.387749808063163</v>
      </c>
      <c r="X149" s="343"/>
      <c r="Y149" s="367" t="str">
        <f t="shared" ca="1" si="80"/>
        <v/>
      </c>
      <c r="Z149" s="368" t="str">
        <f t="shared" ca="1" si="81"/>
        <v/>
      </c>
      <c r="AA149" s="369" t="str">
        <f t="shared" ca="1" si="82"/>
        <v/>
      </c>
      <c r="AB149" s="344"/>
      <c r="AC149" s="363" t="e">
        <f t="shared" ca="1" si="83"/>
        <v>#N/A</v>
      </c>
      <c r="AD149" s="376" t="e">
        <f t="shared" ca="1" si="84"/>
        <v>#N/A</v>
      </c>
      <c r="AE149" s="377">
        <f t="shared" ca="1" si="63"/>
        <v>75.429856943922118</v>
      </c>
      <c r="AF149" s="344"/>
      <c r="AG149" s="359">
        <f t="shared" ca="1" si="85"/>
        <v>70.820262992559734</v>
      </c>
      <c r="AH149" s="357">
        <f t="shared" ca="1" si="86"/>
        <v>80.41423019340948</v>
      </c>
    </row>
    <row r="150" spans="1:34" x14ac:dyDescent="0.25">
      <c r="A150" s="402">
        <f t="shared" ca="1" si="64"/>
        <v>0.01</v>
      </c>
      <c r="B150" s="357">
        <f t="shared" ca="1" si="65"/>
        <v>1.4600000000000011</v>
      </c>
      <c r="C150" s="342"/>
      <c r="D150" s="359">
        <f t="shared" ca="1" si="66"/>
        <v>16.775398111637738</v>
      </c>
      <c r="E150" s="360">
        <f t="shared" ca="1" si="67"/>
        <v>68.723765480194132</v>
      </c>
      <c r="F150" s="357">
        <f t="shared" ca="1" si="68"/>
        <v>70.741571396037429</v>
      </c>
      <c r="G150" s="359">
        <f t="shared" ca="1" si="69"/>
        <v>22.379244514287031</v>
      </c>
      <c r="H150" s="360">
        <f t="shared" ca="1" si="70"/>
        <v>104.66998530044209</v>
      </c>
      <c r="I150" s="357">
        <f t="shared" ca="1" si="71"/>
        <v>107.03567820042535</v>
      </c>
      <c r="J150" s="359">
        <f t="shared" ca="1" si="72"/>
        <v>15.371285866897196</v>
      </c>
      <c r="K150" s="360">
        <f t="shared" ca="1" si="73"/>
        <v>76.473120608652536</v>
      </c>
      <c r="L150" s="357">
        <f t="shared" ca="1" si="58"/>
        <v>78.00265767797525</v>
      </c>
      <c r="M150" s="359">
        <f t="shared" ca="1" si="74"/>
        <v>1.3601601058986528</v>
      </c>
      <c r="N150" s="357">
        <f t="shared" ca="1" si="75"/>
        <v>77.931433530059905</v>
      </c>
      <c r="O150" s="343"/>
      <c r="P150" s="363">
        <f t="shared" ca="1" si="76"/>
        <v>7</v>
      </c>
      <c r="Q150" s="357">
        <f t="shared" ca="1" si="77"/>
        <v>976.35454545454525</v>
      </c>
      <c r="R150" s="359">
        <f t="shared" ca="1" si="78"/>
        <v>0.48908748987507411</v>
      </c>
      <c r="S150" s="360">
        <f t="shared" ca="1" si="79"/>
        <v>11.76715555657854</v>
      </c>
      <c r="T150" s="357">
        <f t="shared" ca="1" si="59"/>
        <v>115.43579601003549</v>
      </c>
      <c r="U150" s="364">
        <f t="shared" ca="1" si="60"/>
        <v>0</v>
      </c>
      <c r="V150" s="359">
        <f t="shared" ca="1" si="61"/>
        <v>1.2156677261306985</v>
      </c>
      <c r="W150" s="357">
        <f t="shared" ca="1" si="62"/>
        <v>31.803298111618233</v>
      </c>
      <c r="X150" s="343"/>
      <c r="Y150" s="367" t="str">
        <f t="shared" ca="1" si="80"/>
        <v/>
      </c>
      <c r="Z150" s="368" t="str">
        <f t="shared" ca="1" si="81"/>
        <v/>
      </c>
      <c r="AA150" s="369" t="str">
        <f t="shared" ca="1" si="82"/>
        <v/>
      </c>
      <c r="AB150" s="344"/>
      <c r="AC150" s="363" t="e">
        <f t="shared" ca="1" si="83"/>
        <v>#N/A</v>
      </c>
      <c r="AD150" s="376" t="e">
        <f t="shared" ca="1" si="84"/>
        <v>#N/A</v>
      </c>
      <c r="AE150" s="377">
        <f t="shared" ca="1" si="63"/>
        <v>76.473120608652536</v>
      </c>
      <c r="AF150" s="344"/>
      <c r="AG150" s="359">
        <f t="shared" ca="1" si="85"/>
        <v>70.711883459075352</v>
      </c>
      <c r="AH150" s="357">
        <f t="shared" ca="1" si="86"/>
        <v>80.30545624241276</v>
      </c>
    </row>
    <row r="151" spans="1:34" x14ac:dyDescent="0.25">
      <c r="A151" s="402">
        <f t="shared" ca="1" si="64"/>
        <v>0.01</v>
      </c>
      <c r="B151" s="357">
        <f t="shared" ca="1" si="65"/>
        <v>1.4700000000000011</v>
      </c>
      <c r="C151" s="342"/>
      <c r="D151" s="359">
        <f t="shared" ca="1" si="66"/>
        <v>16.767626812007197</v>
      </c>
      <c r="E151" s="360">
        <f t="shared" ca="1" si="67"/>
        <v>68.61388293383402</v>
      </c>
      <c r="F151" s="357">
        <f t="shared" ca="1" si="68"/>
        <v>70.63298266507384</v>
      </c>
      <c r="G151" s="359">
        <f t="shared" ca="1" si="69"/>
        <v>22.546920782407103</v>
      </c>
      <c r="H151" s="360">
        <f t="shared" ca="1" si="70"/>
        <v>105.35612412978044</v>
      </c>
      <c r="I151" s="357">
        <f t="shared" ca="1" si="71"/>
        <v>107.7417121101101</v>
      </c>
      <c r="J151" s="359">
        <f t="shared" ca="1" si="72"/>
        <v>15.595916693380667</v>
      </c>
      <c r="K151" s="360">
        <f t="shared" ca="1" si="73"/>
        <v>77.523251155803649</v>
      </c>
      <c r="L151" s="357">
        <f t="shared" ca="1" si="58"/>
        <v>79.076463548091738</v>
      </c>
      <c r="M151" s="359">
        <f t="shared" ca="1" si="74"/>
        <v>1.3599697343715846</v>
      </c>
      <c r="N151" s="357">
        <f t="shared" ca="1" si="75"/>
        <v>77.920526045019443</v>
      </c>
      <c r="O151" s="343"/>
      <c r="P151" s="363">
        <f t="shared" ca="1" si="76"/>
        <v>7</v>
      </c>
      <c r="Q151" s="357">
        <f t="shared" ca="1" si="77"/>
        <v>975.09480519480508</v>
      </c>
      <c r="R151" s="359">
        <f t="shared" ca="1" si="78"/>
        <v>0.4884564453386408</v>
      </c>
      <c r="S151" s="360">
        <f t="shared" ca="1" si="79"/>
        <v>11.762270992125154</v>
      </c>
      <c r="T151" s="357">
        <f t="shared" ca="1" si="59"/>
        <v>115.38787843274777</v>
      </c>
      <c r="U151" s="364">
        <f t="shared" ca="1" si="60"/>
        <v>0</v>
      </c>
      <c r="V151" s="359">
        <f t="shared" ca="1" si="61"/>
        <v>1.2155400699600345</v>
      </c>
      <c r="W151" s="357">
        <f t="shared" ca="1" si="62"/>
        <v>32.220862951481756</v>
      </c>
      <c r="X151" s="343"/>
      <c r="Y151" s="367" t="str">
        <f t="shared" ca="1" si="80"/>
        <v/>
      </c>
      <c r="Z151" s="368" t="str">
        <f t="shared" ca="1" si="81"/>
        <v/>
      </c>
      <c r="AA151" s="369" t="str">
        <f t="shared" ca="1" si="82"/>
        <v/>
      </c>
      <c r="AB151" s="344"/>
      <c r="AC151" s="363" t="e">
        <f t="shared" ca="1" si="83"/>
        <v>#N/A</v>
      </c>
      <c r="AD151" s="376" t="e">
        <f t="shared" ca="1" si="84"/>
        <v>#N/A</v>
      </c>
      <c r="AE151" s="377">
        <f t="shared" ca="1" si="63"/>
        <v>77.523251155803649</v>
      </c>
      <c r="AF151" s="344"/>
      <c r="AG151" s="359">
        <f t="shared" ca="1" si="85"/>
        <v>70.603195733391033</v>
      </c>
      <c r="AH151" s="357">
        <f t="shared" ca="1" si="86"/>
        <v>80.196375998709854</v>
      </c>
    </row>
    <row r="152" spans="1:34" x14ac:dyDescent="0.25">
      <c r="A152" s="402">
        <f t="shared" ca="1" si="64"/>
        <v>0.01</v>
      </c>
      <c r="B152" s="357">
        <f t="shared" ca="1" si="65"/>
        <v>1.4800000000000011</v>
      </c>
      <c r="C152" s="342"/>
      <c r="D152" s="359">
        <f t="shared" ca="1" si="66"/>
        <v>16.759665295291104</v>
      </c>
      <c r="E152" s="360">
        <f t="shared" ca="1" si="67"/>
        <v>68.503726041119876</v>
      </c>
      <c r="F152" s="357">
        <f t="shared" ca="1" si="68"/>
        <v>70.524087107363471</v>
      </c>
      <c r="G152" s="359">
        <f t="shared" ca="1" si="69"/>
        <v>22.714517435360015</v>
      </c>
      <c r="H152" s="360">
        <f t="shared" ca="1" si="70"/>
        <v>106.04116139019163</v>
      </c>
      <c r="I152" s="357">
        <f t="shared" ca="1" si="71"/>
        <v>108.44665606325509</v>
      </c>
      <c r="J152" s="359">
        <f t="shared" ca="1" si="72"/>
        <v>15.822223884469503</v>
      </c>
      <c r="K152" s="360">
        <f t="shared" ca="1" si="73"/>
        <v>78.580237583403516</v>
      </c>
      <c r="L152" s="357">
        <f t="shared" ca="1" si="58"/>
        <v>80.157323478983628</v>
      </c>
      <c r="M152" s="359">
        <f t="shared" ca="1" si="74"/>
        <v>1.3597804319318483</v>
      </c>
      <c r="N152" s="357">
        <f t="shared" ca="1" si="75"/>
        <v>77.909679814171028</v>
      </c>
      <c r="O152" s="343"/>
      <c r="P152" s="363">
        <f t="shared" ca="1" si="76"/>
        <v>7</v>
      </c>
      <c r="Q152" s="357">
        <f t="shared" ca="1" si="77"/>
        <v>973.83506493506479</v>
      </c>
      <c r="R152" s="359">
        <f t="shared" ca="1" si="78"/>
        <v>0.48782540080220749</v>
      </c>
      <c r="S152" s="360">
        <f t="shared" ca="1" si="79"/>
        <v>11.757392738117133</v>
      </c>
      <c r="T152" s="357">
        <f t="shared" ca="1" si="59"/>
        <v>115.34002276092909</v>
      </c>
      <c r="U152" s="364">
        <f t="shared" ca="1" si="60"/>
        <v>0</v>
      </c>
      <c r="V152" s="359">
        <f t="shared" ca="1" si="61"/>
        <v>1.2154115938576688</v>
      </c>
      <c r="W152" s="357">
        <f t="shared" ca="1" si="62"/>
        <v>32.640428220790028</v>
      </c>
      <c r="X152" s="343"/>
      <c r="Y152" s="367" t="str">
        <f t="shared" ca="1" si="80"/>
        <v/>
      </c>
      <c r="Z152" s="368" t="str">
        <f t="shared" ca="1" si="81"/>
        <v/>
      </c>
      <c r="AA152" s="369" t="str">
        <f t="shared" ca="1" si="82"/>
        <v/>
      </c>
      <c r="AB152" s="344"/>
      <c r="AC152" s="363" t="e">
        <f t="shared" ca="1" si="83"/>
        <v>#N/A</v>
      </c>
      <c r="AD152" s="376" t="e">
        <f t="shared" ca="1" si="84"/>
        <v>#N/A</v>
      </c>
      <c r="AE152" s="377">
        <f t="shared" ca="1" si="63"/>
        <v>78.580237583403516</v>
      </c>
      <c r="AF152" s="344"/>
      <c r="AG152" s="359">
        <f t="shared" ca="1" si="85"/>
        <v>70.494201002961248</v>
      </c>
      <c r="AH152" s="357">
        <f t="shared" ca="1" si="86"/>
        <v>80.086990624281569</v>
      </c>
    </row>
    <row r="153" spans="1:34" x14ac:dyDescent="0.25">
      <c r="A153" s="402">
        <f t="shared" ca="1" si="64"/>
        <v>0.01</v>
      </c>
      <c r="B153" s="357">
        <f t="shared" ca="1" si="65"/>
        <v>1.4900000000000011</v>
      </c>
      <c r="C153" s="342"/>
      <c r="D153" s="359">
        <f t="shared" ca="1" si="66"/>
        <v>16.751515172872775</v>
      </c>
      <c r="E153" s="360">
        <f t="shared" ca="1" si="67"/>
        <v>68.393295713056872</v>
      </c>
      <c r="F153" s="357">
        <f t="shared" ca="1" si="68"/>
        <v>70.41488591967348</v>
      </c>
      <c r="G153" s="359">
        <f t="shared" ca="1" si="69"/>
        <v>22.882032587088744</v>
      </c>
      <c r="H153" s="360">
        <f t="shared" ca="1" si="70"/>
        <v>106.7250943473222</v>
      </c>
      <c r="I153" s="357">
        <f t="shared" ca="1" si="71"/>
        <v>109.15050700185233</v>
      </c>
      <c r="J153" s="359">
        <f t="shared" ca="1" si="72"/>
        <v>16.050206634581748</v>
      </c>
      <c r="K153" s="360">
        <f t="shared" ca="1" si="73"/>
        <v>79.644068862091089</v>
      </c>
      <c r="L153" s="357">
        <f t="shared" ca="1" si="58"/>
        <v>81.245226554686141</v>
      </c>
      <c r="M153" s="359">
        <f t="shared" ca="1" si="74"/>
        <v>1.3595921838315508</v>
      </c>
      <c r="N153" s="357">
        <f t="shared" ca="1" si="75"/>
        <v>77.898893992522616</v>
      </c>
      <c r="O153" s="343"/>
      <c r="P153" s="363">
        <f t="shared" ca="1" si="76"/>
        <v>7</v>
      </c>
      <c r="Q153" s="357">
        <f t="shared" ca="1" si="77"/>
        <v>972.57532467532451</v>
      </c>
      <c r="R153" s="359">
        <f t="shared" ca="1" si="78"/>
        <v>0.48719435626577412</v>
      </c>
      <c r="S153" s="360">
        <f t="shared" ca="1" si="79"/>
        <v>11.752520794554476</v>
      </c>
      <c r="T153" s="357">
        <f t="shared" ca="1" si="59"/>
        <v>115.29222899457942</v>
      </c>
      <c r="U153" s="364">
        <f t="shared" ca="1" si="60"/>
        <v>0</v>
      </c>
      <c r="V153" s="359">
        <f t="shared" ca="1" si="61"/>
        <v>1.2152822994250827</v>
      </c>
      <c r="W153" s="357">
        <f t="shared" ca="1" si="62"/>
        <v>33.061977791553844</v>
      </c>
      <c r="X153" s="343"/>
      <c r="Y153" s="367" t="str">
        <f t="shared" ca="1" si="80"/>
        <v/>
      </c>
      <c r="Z153" s="368" t="str">
        <f t="shared" ca="1" si="81"/>
        <v/>
      </c>
      <c r="AA153" s="369" t="str">
        <f t="shared" ca="1" si="82"/>
        <v/>
      </c>
      <c r="AB153" s="344"/>
      <c r="AC153" s="363" t="e">
        <f t="shared" ca="1" si="83"/>
        <v>#N/A</v>
      </c>
      <c r="AD153" s="376" t="e">
        <f t="shared" ca="1" si="84"/>
        <v>#N/A</v>
      </c>
      <c r="AE153" s="377">
        <f t="shared" ca="1" si="63"/>
        <v>79.644068862091089</v>
      </c>
      <c r="AF153" s="344"/>
      <c r="AG153" s="359">
        <f t="shared" ca="1" si="85"/>
        <v>70.384900459504067</v>
      </c>
      <c r="AH153" s="357">
        <f t="shared" ca="1" si="86"/>
        <v>79.977301285869899</v>
      </c>
    </row>
    <row r="154" spans="1:34" x14ac:dyDescent="0.25">
      <c r="A154" s="402">
        <f t="shared" ca="1" si="64"/>
        <v>0.01</v>
      </c>
      <c r="B154" s="357">
        <f t="shared" ca="1" si="65"/>
        <v>1.5000000000000011</v>
      </c>
      <c r="C154" s="342"/>
      <c r="D154" s="359">
        <f t="shared" ca="1" si="66"/>
        <v>16.743178029353722</v>
      </c>
      <c r="E154" s="360">
        <f t="shared" ca="1" si="67"/>
        <v>68.282592869789994</v>
      </c>
      <c r="F154" s="357">
        <f t="shared" ca="1" si="68"/>
        <v>70.305380302962078</v>
      </c>
      <c r="G154" s="359">
        <f t="shared" ca="1" si="69"/>
        <v>23.049464367382281</v>
      </c>
      <c r="H154" s="360">
        <f t="shared" ca="1" si="70"/>
        <v>107.40792027602009</v>
      </c>
      <c r="I154" s="357">
        <f t="shared" ca="1" si="71"/>
        <v>109.85326187985095</v>
      </c>
      <c r="J154" s="359">
        <f t="shared" ca="1" si="72"/>
        <v>16.279864119354102</v>
      </c>
      <c r="K154" s="360">
        <f t="shared" ca="1" si="73"/>
        <v>80.714733935207803</v>
      </c>
      <c r="L154" s="357">
        <f t="shared" ca="1" si="58"/>
        <v>82.340161828697049</v>
      </c>
      <c r="M154" s="359">
        <f t="shared" ca="1" si="74"/>
        <v>1.3594049756195723</v>
      </c>
      <c r="N154" s="357">
        <f t="shared" ca="1" si="75"/>
        <v>77.888167752086062</v>
      </c>
      <c r="O154" s="343"/>
      <c r="P154" s="363">
        <f t="shared" ca="1" si="76"/>
        <v>7</v>
      </c>
      <c r="Q154" s="357">
        <f t="shared" ca="1" si="77"/>
        <v>971.31558441558423</v>
      </c>
      <c r="R154" s="359">
        <f t="shared" ca="1" si="78"/>
        <v>0.48656331172934081</v>
      </c>
      <c r="S154" s="360">
        <f t="shared" ca="1" si="79"/>
        <v>11.747655161437182</v>
      </c>
      <c r="T154" s="357">
        <f t="shared" ca="1" si="59"/>
        <v>115.24449713369876</v>
      </c>
      <c r="U154" s="364">
        <f t="shared" ca="1" si="60"/>
        <v>0</v>
      </c>
      <c r="V154" s="359">
        <f t="shared" ca="1" si="61"/>
        <v>1.2151521882681262</v>
      </c>
      <c r="W154" s="357">
        <f t="shared" ca="1" si="62"/>
        <v>33.485495515247237</v>
      </c>
      <c r="X154" s="343"/>
      <c r="Y154" s="367" t="str">
        <f t="shared" ca="1" si="80"/>
        <v/>
      </c>
      <c r="Z154" s="368" t="str">
        <f t="shared" ca="1" si="81"/>
        <v/>
      </c>
      <c r="AA154" s="369" t="str">
        <f t="shared" ca="1" si="82"/>
        <v/>
      </c>
      <c r="AB154" s="344"/>
      <c r="AC154" s="363" t="e">
        <f t="shared" ca="1" si="83"/>
        <v>#N/A</v>
      </c>
      <c r="AD154" s="376" t="e">
        <f t="shared" ca="1" si="84"/>
        <v>#N/A</v>
      </c>
      <c r="AE154" s="377">
        <f t="shared" ca="1" si="63"/>
        <v>80.714733935207803</v>
      </c>
      <c r="AF154" s="344"/>
      <c r="AG154" s="359">
        <f t="shared" ca="1" si="85"/>
        <v>70.275295298967819</v>
      </c>
      <c r="AH154" s="357">
        <f t="shared" ca="1" si="86"/>
        <v>79.867309154931519</v>
      </c>
    </row>
    <row r="155" spans="1:34" x14ac:dyDescent="0.25">
      <c r="A155" s="402">
        <f t="shared" ca="1" si="64"/>
        <v>0.01</v>
      </c>
      <c r="B155" s="357">
        <f t="shared" ca="1" si="65"/>
        <v>1.5100000000000011</v>
      </c>
      <c r="C155" s="342"/>
      <c r="D155" s="359">
        <f t="shared" ca="1" si="66"/>
        <v>16.734655423310802</v>
      </c>
      <c r="E155" s="360">
        <f t="shared" ca="1" si="67"/>
        <v>68.171618440436177</v>
      </c>
      <c r="F155" s="357">
        <f t="shared" ca="1" si="68"/>
        <v>70.19557146234628</v>
      </c>
      <c r="G155" s="359">
        <f t="shared" ca="1" si="69"/>
        <v>23.216810921615391</v>
      </c>
      <c r="H155" s="360">
        <f t="shared" ca="1" si="70"/>
        <v>108.08963646042446</v>
      </c>
      <c r="I155" s="357">
        <f t="shared" ca="1" si="71"/>
        <v>110.55491766319922</v>
      </c>
      <c r="J155" s="359">
        <f t="shared" ca="1" si="72"/>
        <v>16.51119549579909</v>
      </c>
      <c r="K155" s="360">
        <f t="shared" ca="1" si="73"/>
        <v>81.792221718890033</v>
      </c>
      <c r="L155" s="357">
        <f t="shared" ca="1" si="58"/>
        <v>83.442118324096754</v>
      </c>
      <c r="M155" s="359">
        <f t="shared" ca="1" si="74"/>
        <v>1.3592187931335504</v>
      </c>
      <c r="N155" s="357">
        <f t="shared" ca="1" si="75"/>
        <v>77.877500281417753</v>
      </c>
      <c r="O155" s="343"/>
      <c r="P155" s="363">
        <f t="shared" ca="1" si="76"/>
        <v>7</v>
      </c>
      <c r="Q155" s="357">
        <f t="shared" ca="1" si="77"/>
        <v>970.05584415584394</v>
      </c>
      <c r="R155" s="359">
        <f t="shared" ca="1" si="78"/>
        <v>0.48593226719290744</v>
      </c>
      <c r="S155" s="360">
        <f t="shared" ca="1" si="79"/>
        <v>11.742795838765252</v>
      </c>
      <c r="T155" s="357">
        <f t="shared" ca="1" si="59"/>
        <v>115.19682717828712</v>
      </c>
      <c r="U155" s="364">
        <f t="shared" ca="1" si="60"/>
        <v>0</v>
      </c>
      <c r="V155" s="359">
        <f t="shared" ca="1" si="61"/>
        <v>1.2150212619969969</v>
      </c>
      <c r="W155" s="357">
        <f t="shared" ca="1" si="62"/>
        <v>33.910965223396019</v>
      </c>
      <c r="X155" s="343"/>
      <c r="Y155" s="367" t="str">
        <f t="shared" ca="1" si="80"/>
        <v/>
      </c>
      <c r="Z155" s="368" t="str">
        <f t="shared" ca="1" si="81"/>
        <v/>
      </c>
      <c r="AA155" s="369" t="str">
        <f t="shared" ca="1" si="82"/>
        <v/>
      </c>
      <c r="AB155" s="344"/>
      <c r="AC155" s="363" t="e">
        <f t="shared" ca="1" si="83"/>
        <v>#N/A</v>
      </c>
      <c r="AD155" s="376" t="e">
        <f t="shared" ca="1" si="84"/>
        <v>#N/A</v>
      </c>
      <c r="AE155" s="377">
        <f t="shared" ca="1" si="63"/>
        <v>81.792221718890033</v>
      </c>
      <c r="AF155" s="344"/>
      <c r="AG155" s="359">
        <f t="shared" ca="1" si="85"/>
        <v>70.165386721497242</v>
      </c>
      <c r="AH155" s="357">
        <f t="shared" ca="1" si="86"/>
        <v>79.757015407591084</v>
      </c>
    </row>
    <row r="156" spans="1:34" x14ac:dyDescent="0.25">
      <c r="A156" s="402">
        <f t="shared" ca="1" si="64"/>
        <v>0.01</v>
      </c>
      <c r="B156" s="357">
        <f t="shared" ca="1" si="65"/>
        <v>1.5200000000000011</v>
      </c>
      <c r="C156" s="342"/>
      <c r="D156" s="359">
        <f t="shared" ca="1" si="66"/>
        <v>16.725948888027371</v>
      </c>
      <c r="E156" s="360">
        <f t="shared" ca="1" si="67"/>
        <v>68.060373362920473</v>
      </c>
      <c r="F156" s="357">
        <f t="shared" ca="1" si="68"/>
        <v>70.085460607069123</v>
      </c>
      <c r="G156" s="359">
        <f t="shared" ca="1" si="69"/>
        <v>23.384070410495664</v>
      </c>
      <c r="H156" s="360">
        <f t="shared" ca="1" si="70"/>
        <v>108.77024019405366</v>
      </c>
      <c r="I156" s="357">
        <f t="shared" ca="1" si="71"/>
        <v>111.25547132988626</v>
      </c>
      <c r="J156" s="359">
        <f t="shared" ca="1" si="72"/>
        <v>16.744199902459645</v>
      </c>
      <c r="K156" s="360">
        <f t="shared" ca="1" si="73"/>
        <v>82.876521102162428</v>
      </c>
      <c r="L156" s="357">
        <f t="shared" ca="1" si="58"/>
        <v>84.551085033668869</v>
      </c>
      <c r="M156" s="359">
        <f t="shared" ca="1" si="74"/>
        <v>1.3590336224921347</v>
      </c>
      <c r="N156" s="357">
        <f t="shared" ca="1" si="75"/>
        <v>77.866890785174903</v>
      </c>
      <c r="O156" s="343"/>
      <c r="P156" s="363">
        <f t="shared" ca="1" si="76"/>
        <v>7</v>
      </c>
      <c r="Q156" s="357">
        <f t="shared" ca="1" si="77"/>
        <v>968.79610389610366</v>
      </c>
      <c r="R156" s="359">
        <f t="shared" ca="1" si="78"/>
        <v>0.48530122265647413</v>
      </c>
      <c r="S156" s="360">
        <f t="shared" ca="1" si="79"/>
        <v>11.737942826538687</v>
      </c>
      <c r="T156" s="357">
        <f t="shared" ca="1" si="59"/>
        <v>115.14921912834453</v>
      </c>
      <c r="U156" s="364">
        <f t="shared" ca="1" si="60"/>
        <v>0</v>
      </c>
      <c r="V156" s="359">
        <f t="shared" ca="1" si="61"/>
        <v>1.2148895222262137</v>
      </c>
      <c r="W156" s="357">
        <f t="shared" ca="1" si="62"/>
        <v>34.338370728166076</v>
      </c>
      <c r="X156" s="343"/>
      <c r="Y156" s="367" t="str">
        <f t="shared" ca="1" si="80"/>
        <v/>
      </c>
      <c r="Z156" s="368" t="str">
        <f t="shared" ca="1" si="81"/>
        <v/>
      </c>
      <c r="AA156" s="369" t="str">
        <f t="shared" ca="1" si="82"/>
        <v/>
      </c>
      <c r="AB156" s="344"/>
      <c r="AC156" s="363" t="e">
        <f t="shared" ca="1" si="83"/>
        <v>#N/A</v>
      </c>
      <c r="AD156" s="376" t="e">
        <f t="shared" ca="1" si="84"/>
        <v>#N/A</v>
      </c>
      <c r="AE156" s="377">
        <f t="shared" ca="1" si="63"/>
        <v>82.876521102162428</v>
      </c>
      <c r="AF156" s="344"/>
      <c r="AG156" s="359">
        <f t="shared" ca="1" si="85"/>
        <v>70.055175931399106</v>
      </c>
      <c r="AH156" s="357">
        <f t="shared" ca="1" si="86"/>
        <v>79.646421224594505</v>
      </c>
    </row>
    <row r="157" spans="1:34" x14ac:dyDescent="0.25">
      <c r="A157" s="402">
        <f t="shared" ca="1" si="64"/>
        <v>0.01</v>
      </c>
      <c r="B157" s="357">
        <f t="shared" ca="1" si="65"/>
        <v>1.5300000000000011</v>
      </c>
      <c r="C157" s="342"/>
      <c r="D157" s="359">
        <f t="shared" ca="1" si="66"/>
        <v>16.717059932199433</v>
      </c>
      <c r="E157" s="360">
        <f t="shared" ca="1" si="67"/>
        <v>67.948858583815777</v>
      </c>
      <c r="F157" s="357">
        <f t="shared" ca="1" si="68"/>
        <v>69.975048950466217</v>
      </c>
      <c r="G157" s="359">
        <f t="shared" ca="1" si="69"/>
        <v>23.551241009817659</v>
      </c>
      <c r="H157" s="360">
        <f t="shared" ca="1" si="70"/>
        <v>109.44972877989181</v>
      </c>
      <c r="I157" s="357">
        <f t="shared" ca="1" si="71"/>
        <v>111.95491986998337</v>
      </c>
      <c r="J157" s="359">
        <f t="shared" ca="1" si="72"/>
        <v>16.97887645956121</v>
      </c>
      <c r="K157" s="360">
        <f t="shared" ca="1" si="73"/>
        <v>83.96762094703216</v>
      </c>
      <c r="L157" s="357">
        <f t="shared" ca="1" si="58"/>
        <v>85.667050920021268</v>
      </c>
      <c r="M157" s="359">
        <f t="shared" ca="1" si="74"/>
        <v>1.3588494500874997</v>
      </c>
      <c r="N157" s="357">
        <f t="shared" ca="1" si="75"/>
        <v>77.856338483686542</v>
      </c>
      <c r="O157" s="343"/>
      <c r="P157" s="363">
        <f t="shared" ca="1" si="76"/>
        <v>7</v>
      </c>
      <c r="Q157" s="357">
        <f t="shared" ca="1" si="77"/>
        <v>967.53636363636349</v>
      </c>
      <c r="R157" s="359">
        <f t="shared" ca="1" si="78"/>
        <v>0.48467017812004082</v>
      </c>
      <c r="S157" s="360">
        <f t="shared" ca="1" si="79"/>
        <v>11.733096124757486</v>
      </c>
      <c r="T157" s="357">
        <f t="shared" ca="1" si="59"/>
        <v>115.10167298387094</v>
      </c>
      <c r="U157" s="364">
        <f t="shared" ca="1" si="60"/>
        <v>0</v>
      </c>
      <c r="V157" s="359">
        <f t="shared" ca="1" si="61"/>
        <v>1.2147569705745958</v>
      </c>
      <c r="W157" s="357">
        <f t="shared" ca="1" si="62"/>
        <v>34.767695822951396</v>
      </c>
      <c r="X157" s="343"/>
      <c r="Y157" s="367" t="str">
        <f t="shared" ca="1" si="80"/>
        <v/>
      </c>
      <c r="Z157" s="368" t="str">
        <f t="shared" ca="1" si="81"/>
        <v/>
      </c>
      <c r="AA157" s="369" t="str">
        <f t="shared" ca="1" si="82"/>
        <v/>
      </c>
      <c r="AB157" s="344"/>
      <c r="AC157" s="363" t="e">
        <f t="shared" ca="1" si="83"/>
        <v>#N/A</v>
      </c>
      <c r="AD157" s="376" t="e">
        <f t="shared" ca="1" si="84"/>
        <v>#N/A</v>
      </c>
      <c r="AE157" s="377">
        <f t="shared" ca="1" si="63"/>
        <v>83.96762094703216</v>
      </c>
      <c r="AF157" s="344"/>
      <c r="AG157" s="359">
        <f t="shared" ca="1" si="85"/>
        <v>69.94466413710721</v>
      </c>
      <c r="AH157" s="357">
        <f t="shared" ca="1" si="86"/>
        <v>79.535527791261998</v>
      </c>
    </row>
    <row r="158" spans="1:34" x14ac:dyDescent="0.25">
      <c r="A158" s="402">
        <f t="shared" ca="1" si="64"/>
        <v>0.01</v>
      </c>
      <c r="B158" s="357">
        <f t="shared" ca="1" si="65"/>
        <v>1.5400000000000011</v>
      </c>
      <c r="C158" s="342"/>
      <c r="D158" s="359">
        <f t="shared" ca="1" si="66"/>
        <v>16.707990040617773</v>
      </c>
      <c r="E158" s="360">
        <f t="shared" ca="1" si="67"/>
        <v>67.837075058186343</v>
      </c>
      <c r="F158" s="357">
        <f t="shared" ca="1" si="68"/>
        <v>69.864337709931732</v>
      </c>
      <c r="G158" s="359">
        <f t="shared" ca="1" si="69"/>
        <v>23.718320910223838</v>
      </c>
      <c r="H158" s="360">
        <f t="shared" ca="1" si="70"/>
        <v>110.12809953047368</v>
      </c>
      <c r="I158" s="357">
        <f t="shared" ca="1" si="71"/>
        <v>112.65326028568494</v>
      </c>
      <c r="J158" s="359">
        <f t="shared" ca="1" si="72"/>
        <v>17.215224269161418</v>
      </c>
      <c r="K158" s="360">
        <f t="shared" ca="1" si="73"/>
        <v>85.065510088583991</v>
      </c>
      <c r="L158" s="357">
        <f t="shared" ca="1" si="58"/>
        <v>86.790004915707371</v>
      </c>
      <c r="M158" s="359">
        <f t="shared" ca="1" si="74"/>
        <v>1.3586662625781096</v>
      </c>
      <c r="N158" s="357">
        <f t="shared" ca="1" si="75"/>
        <v>77.845842612538988</v>
      </c>
      <c r="O158" s="343"/>
      <c r="P158" s="363">
        <f t="shared" ca="1" si="76"/>
        <v>7</v>
      </c>
      <c r="Q158" s="357">
        <f t="shared" ca="1" si="77"/>
        <v>966.27662337662321</v>
      </c>
      <c r="R158" s="359">
        <f t="shared" ca="1" si="78"/>
        <v>0.48403913358360751</v>
      </c>
      <c r="S158" s="360">
        <f t="shared" ca="1" si="79"/>
        <v>11.72825573342165</v>
      </c>
      <c r="T158" s="357">
        <f t="shared" ca="1" si="59"/>
        <v>115.05418874486639</v>
      </c>
      <c r="U158" s="364">
        <f t="shared" ca="1" si="60"/>
        <v>0</v>
      </c>
      <c r="V158" s="359">
        <f t="shared" ca="1" si="61"/>
        <v>1.2146236086652369</v>
      </c>
      <c r="W158" s="357">
        <f t="shared" ca="1" si="62"/>
        <v>35.198924282961791</v>
      </c>
      <c r="X158" s="343"/>
      <c r="Y158" s="367" t="str">
        <f t="shared" ca="1" si="80"/>
        <v/>
      </c>
      <c r="Z158" s="368" t="str">
        <f t="shared" ca="1" si="81"/>
        <v/>
      </c>
      <c r="AA158" s="369" t="str">
        <f t="shared" ca="1" si="82"/>
        <v/>
      </c>
      <c r="AB158" s="344"/>
      <c r="AC158" s="363" t="e">
        <f t="shared" ca="1" si="83"/>
        <v>#N/A</v>
      </c>
      <c r="AD158" s="376" t="e">
        <f t="shared" ca="1" si="84"/>
        <v>#N/A</v>
      </c>
      <c r="AE158" s="377">
        <f t="shared" ca="1" si="63"/>
        <v>85.065510088583991</v>
      </c>
      <c r="AF158" s="344"/>
      <c r="AG158" s="359">
        <f t="shared" ca="1" si="85"/>
        <v>69.833852551146876</v>
      </c>
      <c r="AH158" s="357">
        <f t="shared" ca="1" si="86"/>
        <v>79.424336297441016</v>
      </c>
    </row>
    <row r="159" spans="1:34" x14ac:dyDescent="0.25">
      <c r="A159" s="402">
        <f t="shared" ca="1" si="64"/>
        <v>0.01</v>
      </c>
      <c r="B159" s="357">
        <f t="shared" ca="1" si="65"/>
        <v>1.5500000000000012</v>
      </c>
      <c r="C159" s="342"/>
      <c r="D159" s="359">
        <f t="shared" ca="1" si="66"/>
        <v>16.698740674826997</v>
      </c>
      <c r="E159" s="360">
        <f t="shared" ca="1" si="67"/>
        <v>67.725023749434627</v>
      </c>
      <c r="F159" s="357">
        <f t="shared" ca="1" si="68"/>
        <v>69.753328106883941</v>
      </c>
      <c r="G159" s="359">
        <f t="shared" ca="1" si="69"/>
        <v>23.885308316972107</v>
      </c>
      <c r="H159" s="360">
        <f t="shared" ca="1" si="70"/>
        <v>110.80534976796802</v>
      </c>
      <c r="I159" s="357">
        <f t="shared" ca="1" si="71"/>
        <v>113.35048959134913</v>
      </c>
      <c r="J159" s="359">
        <f t="shared" ca="1" si="72"/>
        <v>17.453242415297396</v>
      </c>
      <c r="K159" s="360">
        <f t="shared" ca="1" si="73"/>
        <v>86.170177335076204</v>
      </c>
      <c r="L159" s="357">
        <f t="shared" ca="1" si="58"/>
        <v>87.919935923347992</v>
      </c>
      <c r="M159" s="359">
        <f t="shared" ca="1" si="74"/>
        <v>1.3584840468817176</v>
      </c>
      <c r="N159" s="357">
        <f t="shared" ca="1" si="75"/>
        <v>77.835402422174681</v>
      </c>
      <c r="O159" s="343"/>
      <c r="P159" s="363">
        <f t="shared" ca="1" si="76"/>
        <v>7</v>
      </c>
      <c r="Q159" s="357">
        <f t="shared" ca="1" si="77"/>
        <v>965.01688311688292</v>
      </c>
      <c r="R159" s="359">
        <f t="shared" ca="1" si="78"/>
        <v>0.48340808904717414</v>
      </c>
      <c r="S159" s="360">
        <f t="shared" ca="1" si="79"/>
        <v>11.723421652531178</v>
      </c>
      <c r="T159" s="357">
        <f t="shared" ca="1" si="59"/>
        <v>115.00676641133086</v>
      </c>
      <c r="U159" s="364">
        <f t="shared" ca="1" si="60"/>
        <v>0</v>
      </c>
      <c r="V159" s="359">
        <f t="shared" ca="1" si="61"/>
        <v>1.2144894381254843</v>
      </c>
      <c r="W159" s="357">
        <f t="shared" ca="1" si="62"/>
        <v>35.632039865810434</v>
      </c>
      <c r="X159" s="343"/>
      <c r="Y159" s="367" t="str">
        <f t="shared" ca="1" si="80"/>
        <v/>
      </c>
      <c r="Z159" s="368" t="str">
        <f t="shared" ca="1" si="81"/>
        <v/>
      </c>
      <c r="AA159" s="369" t="str">
        <f t="shared" ca="1" si="82"/>
        <v/>
      </c>
      <c r="AB159" s="344"/>
      <c r="AC159" s="363" t="e">
        <f t="shared" ca="1" si="83"/>
        <v>#N/A</v>
      </c>
      <c r="AD159" s="376" t="e">
        <f t="shared" ca="1" si="84"/>
        <v>#N/A</v>
      </c>
      <c r="AE159" s="377">
        <f t="shared" ca="1" si="63"/>
        <v>86.170177335076204</v>
      </c>
      <c r="AF159" s="344"/>
      <c r="AG159" s="359">
        <f t="shared" ca="1" si="85"/>
        <v>69.722742390099043</v>
      </c>
      <c r="AH159" s="357">
        <f t="shared" ca="1" si="86"/>
        <v>79.312847937459125</v>
      </c>
    </row>
    <row r="160" spans="1:34" x14ac:dyDescent="0.25">
      <c r="A160" s="402">
        <f t="shared" ca="1" si="64"/>
        <v>0.01</v>
      </c>
      <c r="B160" s="357">
        <f t="shared" ca="1" si="65"/>
        <v>1.5600000000000012</v>
      </c>
      <c r="C160" s="342"/>
      <c r="D160" s="359">
        <f t="shared" ca="1" si="66"/>
        <v>16.689313273762608</v>
      </c>
      <c r="E160" s="360">
        <f t="shared" ca="1" si="67"/>
        <v>67.612705629151577</v>
      </c>
      <c r="F160" s="357">
        <f t="shared" ca="1" si="68"/>
        <v>69.64202136673012</v>
      </c>
      <c r="G160" s="359">
        <f t="shared" ca="1" si="69"/>
        <v>24.052201449709735</v>
      </c>
      <c r="H160" s="360">
        <f t="shared" ca="1" si="70"/>
        <v>111.48147682425954</v>
      </c>
      <c r="I160" s="357">
        <f t="shared" ca="1" si="71"/>
        <v>114.04660481353812</v>
      </c>
      <c r="J160" s="359">
        <f t="shared" ca="1" si="72"/>
        <v>17.692929964130805</v>
      </c>
      <c r="K160" s="360">
        <f t="shared" ca="1" si="73"/>
        <v>87.28161146803734</v>
      </c>
      <c r="L160" s="357">
        <f t="shared" ca="1" si="58"/>
        <v>89.056832815753481</v>
      </c>
      <c r="M160" s="359">
        <f t="shared" ca="1" si="74"/>
        <v>1.3583027901685996</v>
      </c>
      <c r="N160" s="357">
        <f t="shared" ca="1" si="75"/>
        <v>77.825017177504606</v>
      </c>
      <c r="O160" s="343"/>
      <c r="P160" s="363">
        <f t="shared" ca="1" si="76"/>
        <v>7</v>
      </c>
      <c r="Q160" s="357">
        <f t="shared" ca="1" si="77"/>
        <v>963.75714285714264</v>
      </c>
      <c r="R160" s="359">
        <f t="shared" ca="1" si="78"/>
        <v>0.48277704451074083</v>
      </c>
      <c r="S160" s="360">
        <f t="shared" ca="1" si="79"/>
        <v>11.71859388208607</v>
      </c>
      <c r="T160" s="357">
        <f t="shared" ca="1" si="59"/>
        <v>114.95940598326436</v>
      </c>
      <c r="U160" s="364">
        <f t="shared" ca="1" si="60"/>
        <v>0</v>
      </c>
      <c r="V160" s="359">
        <f t="shared" ca="1" si="61"/>
        <v>1.2143544605869114</v>
      </c>
      <c r="W160" s="357">
        <f t="shared" ca="1" si="62"/>
        <v>36.067026312100765</v>
      </c>
      <c r="X160" s="343"/>
      <c r="Y160" s="367" t="str">
        <f t="shared" ca="1" si="80"/>
        <v/>
      </c>
      <c r="Z160" s="368" t="str">
        <f t="shared" ca="1" si="81"/>
        <v/>
      </c>
      <c r="AA160" s="369" t="str">
        <f t="shared" ca="1" si="82"/>
        <v/>
      </c>
      <c r="AB160" s="344"/>
      <c r="AC160" s="363" t="e">
        <f t="shared" ca="1" si="83"/>
        <v>#N/A</v>
      </c>
      <c r="AD160" s="376" t="e">
        <f t="shared" ca="1" si="84"/>
        <v>#N/A</v>
      </c>
      <c r="AE160" s="377">
        <f t="shared" ca="1" si="63"/>
        <v>87.28161146803734</v>
      </c>
      <c r="AF160" s="344"/>
      <c r="AG160" s="359">
        <f t="shared" ca="1" si="85"/>
        <v>69.611334874563738</v>
      </c>
      <c r="AH160" s="357">
        <f t="shared" ca="1" si="86"/>
        <v>79.20106391007667</v>
      </c>
    </row>
    <row r="161" spans="1:34" x14ac:dyDescent="0.25">
      <c r="A161" s="402">
        <f t="shared" ca="1" si="64"/>
        <v>0.01</v>
      </c>
      <c r="B161" s="357">
        <f t="shared" ca="1" si="65"/>
        <v>1.5700000000000012</v>
      </c>
      <c r="C161" s="342"/>
      <c r="D161" s="359">
        <f t="shared" ca="1" si="66"/>
        <v>16.67970925436655</v>
      </c>
      <c r="E161" s="360">
        <f t="shared" ca="1" si="67"/>
        <v>67.50012167696994</v>
      </c>
      <c r="F161" s="357">
        <f t="shared" ca="1" si="68"/>
        <v>69.530418718830887</v>
      </c>
      <c r="G161" s="359">
        <f t="shared" ca="1" si="69"/>
        <v>24.218998542253399</v>
      </c>
      <c r="H161" s="360">
        <f t="shared" ca="1" si="70"/>
        <v>112.15647804102925</v>
      </c>
      <c r="I161" s="357">
        <f t="shared" ca="1" si="71"/>
        <v>114.7416029910579</v>
      </c>
      <c r="J161" s="359">
        <f t="shared" ca="1" si="72"/>
        <v>17.93428596409062</v>
      </c>
      <c r="K161" s="360">
        <f t="shared" ca="1" si="73"/>
        <v>88.399801242363779</v>
      </c>
      <c r="L161" s="357">
        <f t="shared" ca="1" si="58"/>
        <v>90.200684436046259</v>
      </c>
      <c r="M161" s="359">
        <f t="shared" ca="1" si="74"/>
        <v>1.3581224798550049</v>
      </c>
      <c r="N161" s="357">
        <f t="shared" ca="1" si="75"/>
        <v>77.814686157532947</v>
      </c>
      <c r="O161" s="343"/>
      <c r="P161" s="363">
        <f t="shared" ca="1" si="76"/>
        <v>7</v>
      </c>
      <c r="Q161" s="357">
        <f t="shared" ca="1" si="77"/>
        <v>962.49740259740236</v>
      </c>
      <c r="R161" s="359">
        <f t="shared" ca="1" si="78"/>
        <v>0.48214599997430746</v>
      </c>
      <c r="S161" s="360">
        <f t="shared" ca="1" si="79"/>
        <v>11.713772422086327</v>
      </c>
      <c r="T161" s="357">
        <f t="shared" ca="1" si="59"/>
        <v>114.91210746066687</v>
      </c>
      <c r="U161" s="364">
        <f t="shared" ca="1" si="60"/>
        <v>0</v>
      </c>
      <c r="V161" s="359">
        <f t="shared" ca="1" si="61"/>
        <v>1.2142186776852979</v>
      </c>
      <c r="W161" s="357">
        <f t="shared" ca="1" si="62"/>
        <v>36.50386734601328</v>
      </c>
      <c r="X161" s="343"/>
      <c r="Y161" s="367" t="str">
        <f t="shared" ca="1" si="80"/>
        <v/>
      </c>
      <c r="Z161" s="368" t="str">
        <f t="shared" ca="1" si="81"/>
        <v/>
      </c>
      <c r="AA161" s="369" t="str">
        <f t="shared" ca="1" si="82"/>
        <v/>
      </c>
      <c r="AB161" s="344"/>
      <c r="AC161" s="363" t="e">
        <f t="shared" ca="1" si="83"/>
        <v>#N/A</v>
      </c>
      <c r="AD161" s="376" t="e">
        <f t="shared" ca="1" si="84"/>
        <v>#N/A</v>
      </c>
      <c r="AE161" s="377">
        <f t="shared" ca="1" si="63"/>
        <v>88.399801242363779</v>
      </c>
      <c r="AF161" s="344"/>
      <c r="AG161" s="359">
        <f t="shared" ca="1" si="85"/>
        <v>69.499631229123111</v>
      </c>
      <c r="AH161" s="357">
        <f t="shared" ca="1" si="86"/>
        <v>79.088985418439265</v>
      </c>
    </row>
    <row r="162" spans="1:34" x14ac:dyDescent="0.25">
      <c r="A162" s="402">
        <f t="shared" ca="1" si="64"/>
        <v>0.01</v>
      </c>
      <c r="B162" s="357">
        <f t="shared" ca="1" si="65"/>
        <v>1.5800000000000012</v>
      </c>
      <c r="C162" s="342"/>
      <c r="D162" s="359">
        <f t="shared" ca="1" si="66"/>
        <v>16.669930012182601</v>
      </c>
      <c r="E162" s="360">
        <f t="shared" ca="1" si="67"/>
        <v>67.387272880420923</v>
      </c>
      <c r="F162" s="357">
        <f t="shared" ca="1" si="68"/>
        <v>69.418521396464357</v>
      </c>
      <c r="G162" s="359">
        <f t="shared" ca="1" si="69"/>
        <v>24.385697842375226</v>
      </c>
      <c r="H162" s="360">
        <f t="shared" ca="1" si="70"/>
        <v>112.83035076983346</v>
      </c>
      <c r="I162" s="357">
        <f t="shared" ca="1" si="71"/>
        <v>115.43548117499785</v>
      </c>
      <c r="J162" s="359">
        <f t="shared" ca="1" si="72"/>
        <v>18.177309446013762</v>
      </c>
      <c r="K162" s="360">
        <f t="shared" ca="1" si="73"/>
        <v>89.524735386418087</v>
      </c>
      <c r="L162" s="357">
        <f t="shared" ca="1" si="58"/>
        <v>91.35147959778385</v>
      </c>
      <c r="M162" s="359">
        <f t="shared" ca="1" si="74"/>
        <v>1.3579431035968212</v>
      </c>
      <c r="N162" s="357">
        <f t="shared" ca="1" si="75"/>
        <v>77.804408654994177</v>
      </c>
      <c r="O162" s="343"/>
      <c r="P162" s="363">
        <f t="shared" ca="1" si="76"/>
        <v>7</v>
      </c>
      <c r="Q162" s="357">
        <f t="shared" ca="1" si="77"/>
        <v>961.23766233766219</v>
      </c>
      <c r="R162" s="359">
        <f t="shared" ca="1" si="78"/>
        <v>0.4815149554378742</v>
      </c>
      <c r="S162" s="360">
        <f t="shared" ca="1" si="79"/>
        <v>11.708957272531949</v>
      </c>
      <c r="T162" s="357">
        <f t="shared" ca="1" si="59"/>
        <v>114.86487084353843</v>
      </c>
      <c r="U162" s="364">
        <f t="shared" ca="1" si="60"/>
        <v>0</v>
      </c>
      <c r="V162" s="359">
        <f t="shared" ca="1" si="61"/>
        <v>1.2140820910606025</v>
      </c>
      <c r="W162" s="357">
        <f t="shared" ca="1" si="62"/>
        <v>36.942546675891684</v>
      </c>
      <c r="X162" s="343"/>
      <c r="Y162" s="367" t="str">
        <f t="shared" ca="1" si="80"/>
        <v/>
      </c>
      <c r="Z162" s="368" t="str">
        <f t="shared" ca="1" si="81"/>
        <v/>
      </c>
      <c r="AA162" s="369" t="str">
        <f t="shared" ca="1" si="82"/>
        <v/>
      </c>
      <c r="AB162" s="344"/>
      <c r="AC162" s="363" t="e">
        <f t="shared" ca="1" si="83"/>
        <v>#N/A</v>
      </c>
      <c r="AD162" s="376" t="e">
        <f t="shared" ca="1" si="84"/>
        <v>#N/A</v>
      </c>
      <c r="AE162" s="377">
        <f t="shared" ca="1" si="63"/>
        <v>89.524735386418087</v>
      </c>
      <c r="AF162" s="344"/>
      <c r="AG162" s="359">
        <f t="shared" ca="1" si="85"/>
        <v>69.387632682304101</v>
      </c>
      <c r="AH162" s="357">
        <f t="shared" ca="1" si="86"/>
        <v>78.976613670030432</v>
      </c>
    </row>
    <row r="163" spans="1:34" x14ac:dyDescent="0.25">
      <c r="A163" s="402">
        <f t="shared" ca="1" si="64"/>
        <v>0.01</v>
      </c>
      <c r="B163" s="357">
        <f t="shared" ca="1" si="65"/>
        <v>1.5900000000000012</v>
      </c>
      <c r="C163" s="342"/>
      <c r="D163" s="359">
        <f t="shared" ca="1" si="66"/>
        <v>16.659976921931921</v>
      </c>
      <c r="E163" s="360">
        <f t="shared" ca="1" si="67"/>
        <v>67.274160234793456</v>
      </c>
      <c r="F163" s="357">
        <f t="shared" ca="1" si="68"/>
        <v>69.306330636789369</v>
      </c>
      <c r="G163" s="359">
        <f t="shared" ca="1" si="69"/>
        <v>24.552297611594547</v>
      </c>
      <c r="H163" s="360">
        <f t="shared" ca="1" si="70"/>
        <v>113.5030923721814</v>
      </c>
      <c r="I163" s="357">
        <f t="shared" ca="1" si="71"/>
        <v>116.1282364287698</v>
      </c>
      <c r="J163" s="359">
        <f t="shared" ca="1" si="72"/>
        <v>18.421999423283612</v>
      </c>
      <c r="K163" s="360">
        <f t="shared" ca="1" si="73"/>
        <v>90.656402602128168</v>
      </c>
      <c r="L163" s="357">
        <f t="shared" ca="1" si="58"/>
        <v>92.509207085082139</v>
      </c>
      <c r="M163" s="359">
        <f t="shared" ca="1" si="74"/>
        <v>1.3577646492834421</v>
      </c>
      <c r="N163" s="357">
        <f t="shared" ca="1" si="75"/>
        <v>77.794183976001648</v>
      </c>
      <c r="O163" s="343"/>
      <c r="P163" s="363">
        <f t="shared" ca="1" si="76"/>
        <v>7</v>
      </c>
      <c r="Q163" s="357">
        <f t="shared" ca="1" si="77"/>
        <v>959.9779220779219</v>
      </c>
      <c r="R163" s="359">
        <f t="shared" ca="1" si="78"/>
        <v>0.48088391090144084</v>
      </c>
      <c r="S163" s="360">
        <f t="shared" ca="1" si="79"/>
        <v>11.704148433422935</v>
      </c>
      <c r="T163" s="357">
        <f t="shared" ca="1" si="59"/>
        <v>114.817696131879</v>
      </c>
      <c r="U163" s="364">
        <f t="shared" ca="1" si="60"/>
        <v>0</v>
      </c>
      <c r="V163" s="359">
        <f t="shared" ca="1" si="61"/>
        <v>1.2139447023569401</v>
      </c>
      <c r="W163" s="357">
        <f t="shared" ca="1" si="62"/>
        <v>37.383047994828672</v>
      </c>
      <c r="X163" s="343"/>
      <c r="Y163" s="367" t="str">
        <f t="shared" ca="1" si="80"/>
        <v/>
      </c>
      <c r="Z163" s="368" t="str">
        <f t="shared" ca="1" si="81"/>
        <v/>
      </c>
      <c r="AA163" s="369" t="str">
        <f t="shared" ca="1" si="82"/>
        <v/>
      </c>
      <c r="AB163" s="344"/>
      <c r="AC163" s="363" t="e">
        <f t="shared" ca="1" si="83"/>
        <v>#N/A</v>
      </c>
      <c r="AD163" s="376" t="e">
        <f t="shared" ca="1" si="84"/>
        <v>#N/A</v>
      </c>
      <c r="AE163" s="377">
        <f t="shared" ca="1" si="63"/>
        <v>90.656402602128168</v>
      </c>
      <c r="AF163" s="344"/>
      <c r="AG163" s="359">
        <f t="shared" ca="1" si="85"/>
        <v>69.275340466540513</v>
      </c>
      <c r="AH163" s="357">
        <f t="shared" ca="1" si="86"/>
        <v>78.863949876623707</v>
      </c>
    </row>
    <row r="164" spans="1:34" x14ac:dyDescent="0.25">
      <c r="A164" s="402">
        <f t="shared" ca="1" si="64"/>
        <v>0.01</v>
      </c>
      <c r="B164" s="357">
        <f t="shared" ca="1" si="65"/>
        <v>1.6000000000000012</v>
      </c>
      <c r="C164" s="342"/>
      <c r="D164" s="359">
        <f t="shared" ca="1" si="66"/>
        <v>16.649851338069887</v>
      </c>
      <c r="E164" s="360">
        <f t="shared" ca="1" si="67"/>
        <v>67.160784742996654</v>
      </c>
      <c r="F164" s="357">
        <f t="shared" ca="1" si="68"/>
        <v>69.19384768080873</v>
      </c>
      <c r="G164" s="359">
        <f t="shared" ca="1" si="69"/>
        <v>24.718796124975245</v>
      </c>
      <c r="H164" s="360">
        <f t="shared" ca="1" si="70"/>
        <v>114.17470021961137</v>
      </c>
      <c r="I164" s="357">
        <f t="shared" ca="1" si="71"/>
        <v>116.81986582814677</v>
      </c>
      <c r="J164" s="359">
        <f t="shared" ca="1" si="72"/>
        <v>18.668354891966462</v>
      </c>
      <c r="K164" s="360">
        <f t="shared" ca="1" si="73"/>
        <v>91.794791565087138</v>
      </c>
      <c r="L164" s="357">
        <f t="shared" ca="1" si="58"/>
        <v>93.673855652739107</v>
      </c>
      <c r="M164" s="359">
        <f t="shared" ca="1" si="74"/>
        <v>1.3575871050318307</v>
      </c>
      <c r="N164" s="357">
        <f t="shared" ca="1" si="75"/>
        <v>77.784011439707498</v>
      </c>
      <c r="O164" s="343"/>
      <c r="P164" s="363">
        <f t="shared" ca="1" si="76"/>
        <v>7</v>
      </c>
      <c r="Q164" s="357">
        <f t="shared" ca="1" si="77"/>
        <v>958.71818181818162</v>
      </c>
      <c r="R164" s="359">
        <f t="shared" ca="1" si="78"/>
        <v>0.48025286636500752</v>
      </c>
      <c r="S164" s="360">
        <f t="shared" ca="1" si="79"/>
        <v>11.699345904759285</v>
      </c>
      <c r="T164" s="357">
        <f t="shared" ca="1" si="59"/>
        <v>114.77058332568859</v>
      </c>
      <c r="U164" s="364">
        <f t="shared" ca="1" si="60"/>
        <v>0</v>
      </c>
      <c r="V164" s="359">
        <f t="shared" ca="1" si="61"/>
        <v>1.2138065132225579</v>
      </c>
      <c r="W164" s="357">
        <f t="shared" ca="1" si="62"/>
        <v>37.825354981251223</v>
      </c>
      <c r="X164" s="343"/>
      <c r="Y164" s="367" t="str">
        <f t="shared" ca="1" si="80"/>
        <v/>
      </c>
      <c r="Z164" s="368" t="str">
        <f t="shared" ca="1" si="81"/>
        <v/>
      </c>
      <c r="AA164" s="369" t="str">
        <f t="shared" ca="1" si="82"/>
        <v/>
      </c>
      <c r="AB164" s="344"/>
      <c r="AC164" s="363" t="e">
        <f t="shared" ca="1" si="83"/>
        <v>#N/A</v>
      </c>
      <c r="AD164" s="376" t="e">
        <f t="shared" ca="1" si="84"/>
        <v>#N/A</v>
      </c>
      <c r="AE164" s="377">
        <f t="shared" ca="1" si="63"/>
        <v>91.794791565087138</v>
      </c>
      <c r="AF164" s="344"/>
      <c r="AG164" s="359">
        <f t="shared" ca="1" si="85"/>
        <v>69.162755818134855</v>
      </c>
      <c r="AH164" s="357">
        <f t="shared" ca="1" si="86"/>
        <v>78.750995254235065</v>
      </c>
    </row>
    <row r="165" spans="1:34" x14ac:dyDescent="0.25">
      <c r="A165" s="402">
        <f t="shared" ca="1" si="64"/>
        <v>0.01</v>
      </c>
      <c r="B165" s="357">
        <f t="shared" ca="1" si="65"/>
        <v>1.6100000000000012</v>
      </c>
      <c r="C165" s="342"/>
      <c r="D165" s="359">
        <f t="shared" ca="1" si="66"/>
        <v>16.639554595324675</v>
      </c>
      <c r="E165" s="360">
        <f t="shared" ca="1" si="67"/>
        <v>67.047147415424746</v>
      </c>
      <c r="F165" s="357">
        <f t="shared" ca="1" si="68"/>
        <v>69.081073773331639</v>
      </c>
      <c r="G165" s="359">
        <f t="shared" ca="1" si="69"/>
        <v>24.885191670928492</v>
      </c>
      <c r="H165" s="360">
        <f t="shared" ca="1" si="70"/>
        <v>114.84517169376562</v>
      </c>
      <c r="I165" s="357">
        <f t="shared" ca="1" si="71"/>
        <v>117.51036646130142</v>
      </c>
      <c r="J165" s="359">
        <f t="shared" ca="1" si="72"/>
        <v>18.91637483094598</v>
      </c>
      <c r="K165" s="360">
        <f t="shared" ca="1" si="73"/>
        <v>92.939890924654023</v>
      </c>
      <c r="L165" s="357">
        <f t="shared" ca="1" si="58"/>
        <v>94.845414026358881</v>
      </c>
      <c r="M165" s="359">
        <f t="shared" ca="1" si="74"/>
        <v>1.3574104591807719</v>
      </c>
      <c r="N165" s="357">
        <f t="shared" ca="1" si="75"/>
        <v>77.773890377973331</v>
      </c>
      <c r="O165" s="343"/>
      <c r="P165" s="363">
        <f t="shared" ca="1" si="76"/>
        <v>7</v>
      </c>
      <c r="Q165" s="357">
        <f t="shared" ca="1" si="77"/>
        <v>957.45844155844134</v>
      </c>
      <c r="R165" s="359">
        <f t="shared" ca="1" si="78"/>
        <v>0.47962182182857416</v>
      </c>
      <c r="S165" s="360">
        <f t="shared" ca="1" si="79"/>
        <v>11.694549686541</v>
      </c>
      <c r="T165" s="357">
        <f t="shared" ca="1" si="59"/>
        <v>114.72353242496722</v>
      </c>
      <c r="U165" s="364">
        <f t="shared" ca="1" si="60"/>
        <v>0</v>
      </c>
      <c r="V165" s="359">
        <f t="shared" ca="1" si="61"/>
        <v>1.2136675253098106</v>
      </c>
      <c r="W165" s="357">
        <f t="shared" ca="1" si="62"/>
        <v>38.26945129950527</v>
      </c>
      <c r="X165" s="343"/>
      <c r="Y165" s="367" t="str">
        <f t="shared" ca="1" si="80"/>
        <v/>
      </c>
      <c r="Z165" s="368" t="str">
        <f t="shared" ca="1" si="81"/>
        <v/>
      </c>
      <c r="AA165" s="369" t="str">
        <f t="shared" ca="1" si="82"/>
        <v/>
      </c>
      <c r="AB165" s="344"/>
      <c r="AC165" s="363" t="e">
        <f t="shared" ca="1" si="83"/>
        <v>#N/A</v>
      </c>
      <c r="AD165" s="376" t="e">
        <f t="shared" ca="1" si="84"/>
        <v>#N/A</v>
      </c>
      <c r="AE165" s="377">
        <f t="shared" ca="1" si="63"/>
        <v>92.939890924654023</v>
      </c>
      <c r="AF165" s="344"/>
      <c r="AG165" s="359">
        <f t="shared" ca="1" si="85"/>
        <v>69.049879977219646</v>
      </c>
      <c r="AH165" s="357">
        <f t="shared" ca="1" si="86"/>
        <v>78.637751023074927</v>
      </c>
    </row>
    <row r="166" spans="1:34" x14ac:dyDescent="0.25">
      <c r="A166" s="402">
        <f t="shared" ca="1" si="64"/>
        <v>0.01</v>
      </c>
      <c r="B166" s="357">
        <f t="shared" ca="1" si="65"/>
        <v>1.6200000000000012</v>
      </c>
      <c r="C166" s="342"/>
      <c r="D166" s="359">
        <f t="shared" ca="1" si="66"/>
        <v>16.629088009218453</v>
      </c>
      <c r="E166" s="360">
        <f t="shared" ca="1" si="67"/>
        <v>66.933249269824756</v>
      </c>
      <c r="F166" s="357">
        <f t="shared" ca="1" si="68"/>
        <v>68.968010162935897</v>
      </c>
      <c r="G166" s="359">
        <f t="shared" ca="1" si="69"/>
        <v>25.051482551020676</v>
      </c>
      <c r="H166" s="360">
        <f t="shared" ca="1" si="70"/>
        <v>115.51450418646387</v>
      </c>
      <c r="I166" s="357">
        <f t="shared" ca="1" si="71"/>
        <v>118.19973542884379</v>
      </c>
      <c r="J166" s="359">
        <f t="shared" ca="1" si="72"/>
        <v>19.166058202055726</v>
      </c>
      <c r="K166" s="360">
        <f t="shared" ca="1" si="73"/>
        <v>94.091689304055166</v>
      </c>
      <c r="L166" s="357">
        <f t="shared" ca="1" si="58"/>
        <v>96.023870902476318</v>
      </c>
      <c r="M166" s="359">
        <f t="shared" ca="1" si="74"/>
        <v>1.3572347002853069</v>
      </c>
      <c r="N166" s="357">
        <f t="shared" ca="1" si="75"/>
        <v>77.763820135051319</v>
      </c>
      <c r="O166" s="343"/>
      <c r="P166" s="363">
        <f t="shared" ca="1" si="76"/>
        <v>7</v>
      </c>
      <c r="Q166" s="357">
        <f t="shared" ca="1" si="77"/>
        <v>956.19870129870105</v>
      </c>
      <c r="R166" s="359">
        <f t="shared" ca="1" si="78"/>
        <v>0.47899077729214079</v>
      </c>
      <c r="S166" s="360">
        <f t="shared" ca="1" si="79"/>
        <v>11.68975977876808</v>
      </c>
      <c r="T166" s="357">
        <f t="shared" ca="1" si="59"/>
        <v>114.67654342971487</v>
      </c>
      <c r="U166" s="364">
        <f t="shared" ca="1" si="60"/>
        <v>0</v>
      </c>
      <c r="V166" s="359">
        <f t="shared" ca="1" si="61"/>
        <v>1.2135277402751357</v>
      </c>
      <c r="W166" s="357">
        <f t="shared" ca="1" si="62"/>
        <v>38.715320600439888</v>
      </c>
      <c r="X166" s="343"/>
      <c r="Y166" s="367" t="str">
        <f t="shared" ca="1" si="80"/>
        <v/>
      </c>
      <c r="Z166" s="368" t="str">
        <f t="shared" ca="1" si="81"/>
        <v/>
      </c>
      <c r="AA166" s="369" t="str">
        <f t="shared" ca="1" si="82"/>
        <v/>
      </c>
      <c r="AB166" s="344"/>
      <c r="AC166" s="363" t="e">
        <f t="shared" ca="1" si="83"/>
        <v>#N/A</v>
      </c>
      <c r="AD166" s="376" t="e">
        <f t="shared" ca="1" si="84"/>
        <v>#N/A</v>
      </c>
      <c r="AE166" s="377">
        <f t="shared" ca="1" si="63"/>
        <v>94.091689304055166</v>
      </c>
      <c r="AF166" s="344"/>
      <c r="AG166" s="359">
        <f t="shared" ca="1" si="85"/>
        <v>68.936714187718323</v>
      </c>
      <c r="AH166" s="357">
        <f t="shared" ca="1" si="86"/>
        <v>78.524218407500186</v>
      </c>
    </row>
    <row r="167" spans="1:34" x14ac:dyDescent="0.25">
      <c r="A167" s="402">
        <f t="shared" ca="1" si="64"/>
        <v>0.01</v>
      </c>
      <c r="B167" s="357">
        <f t="shared" ca="1" si="65"/>
        <v>1.6300000000000012</v>
      </c>
      <c r="C167" s="342"/>
      <c r="D167" s="359">
        <f t="shared" ca="1" si="66"/>
        <v>16.618452876571681</v>
      </c>
      <c r="E167" s="360">
        <f t="shared" ca="1" si="67"/>
        <v>66.819091331166717</v>
      </c>
      <c r="F167" s="357">
        <f t="shared" ca="1" si="68"/>
        <v>68.854658101929701</v>
      </c>
      <c r="G167" s="359">
        <f t="shared" ca="1" si="69"/>
        <v>25.217667079786391</v>
      </c>
      <c r="H167" s="360">
        <f t="shared" ca="1" si="70"/>
        <v>116.18269509977553</v>
      </c>
      <c r="I167" s="357">
        <f t="shared" ca="1" si="71"/>
        <v>118.8879698438591</v>
      </c>
      <c r="J167" s="359">
        <f t="shared" ca="1" si="72"/>
        <v>19.41740395020976</v>
      </c>
      <c r="K167" s="360">
        <f t="shared" ca="1" si="73"/>
        <v>95.250175300486362</v>
      </c>
      <c r="L167" s="357">
        <f t="shared" ca="1" si="58"/>
        <v>97.209214948681705</v>
      </c>
      <c r="M167" s="359">
        <f t="shared" ca="1" si="74"/>
        <v>1.3570598171113395</v>
      </c>
      <c r="N167" s="357">
        <f t="shared" ca="1" si="75"/>
        <v>77.753800067275122</v>
      </c>
      <c r="O167" s="343"/>
      <c r="P167" s="363">
        <f t="shared" ca="1" si="76"/>
        <v>7</v>
      </c>
      <c r="Q167" s="357">
        <f t="shared" ca="1" si="77"/>
        <v>954.93896103896088</v>
      </c>
      <c r="R167" s="359">
        <f t="shared" ca="1" si="78"/>
        <v>0.47835973275570753</v>
      </c>
      <c r="S167" s="360">
        <f t="shared" ca="1" si="79"/>
        <v>11.684976181440522</v>
      </c>
      <c r="T167" s="357">
        <f t="shared" ca="1" si="59"/>
        <v>114.62961633993153</v>
      </c>
      <c r="U167" s="364">
        <f t="shared" ca="1" si="60"/>
        <v>0</v>
      </c>
      <c r="V167" s="359">
        <f t="shared" ca="1" si="61"/>
        <v>1.2133871597790296</v>
      </c>
      <c r="W167" s="357">
        <f t="shared" ca="1" si="62"/>
        <v>39.162946521990804</v>
      </c>
      <c r="X167" s="343"/>
      <c r="Y167" s="367" t="str">
        <f t="shared" ca="1" si="80"/>
        <v/>
      </c>
      <c r="Z167" s="368" t="str">
        <f t="shared" ca="1" si="81"/>
        <v/>
      </c>
      <c r="AA167" s="369" t="str">
        <f t="shared" ca="1" si="82"/>
        <v/>
      </c>
      <c r="AB167" s="344"/>
      <c r="AC167" s="363" t="e">
        <f t="shared" ca="1" si="83"/>
        <v>#N/A</v>
      </c>
      <c r="AD167" s="376" t="e">
        <f t="shared" ca="1" si="84"/>
        <v>#N/A</v>
      </c>
      <c r="AE167" s="377">
        <f t="shared" ca="1" si="63"/>
        <v>95.250175300486362</v>
      </c>
      <c r="AF167" s="344"/>
      <c r="AG167" s="359">
        <f t="shared" ca="1" si="85"/>
        <v>68.823259697305886</v>
      </c>
      <c r="AH167" s="357">
        <f t="shared" ca="1" si="86"/>
        <v>78.41039863596616</v>
      </c>
    </row>
    <row r="168" spans="1:34" x14ac:dyDescent="0.25">
      <c r="A168" s="402">
        <f t="shared" ca="1" si="64"/>
        <v>0.01</v>
      </c>
      <c r="B168" s="357">
        <f t="shared" ca="1" si="65"/>
        <v>1.6400000000000012</v>
      </c>
      <c r="C168" s="342"/>
      <c r="D168" s="359">
        <f t="shared" ca="1" si="66"/>
        <v>16.607650475991431</v>
      </c>
      <c r="E168" s="360">
        <f t="shared" ca="1" si="67"/>
        <v>66.704674631516212</v>
      </c>
      <c r="F168" s="357">
        <f t="shared" ca="1" si="68"/>
        <v>68.741018846312869</v>
      </c>
      <c r="G168" s="359">
        <f t="shared" ca="1" si="69"/>
        <v>25.383743584546306</v>
      </c>
      <c r="H168" s="360">
        <f t="shared" ca="1" si="70"/>
        <v>116.84974184609069</v>
      </c>
      <c r="I168" s="357">
        <f t="shared" ca="1" si="71"/>
        <v>119.57506683194467</v>
      </c>
      <c r="J168" s="359">
        <f t="shared" ca="1" si="72"/>
        <v>19.670411003531424</v>
      </c>
      <c r="K168" s="360">
        <f t="shared" ca="1" si="73"/>
        <v>96.415337485215687</v>
      </c>
      <c r="L168" s="357">
        <f t="shared" ca="1" si="58"/>
        <v>98.401434803746056</v>
      </c>
      <c r="M168" s="359">
        <f t="shared" ca="1" si="74"/>
        <v>1.3568857986304139</v>
      </c>
      <c r="N168" s="357">
        <f t="shared" ca="1" si="75"/>
        <v>77.743829542760821</v>
      </c>
      <c r="O168" s="343"/>
      <c r="P168" s="363">
        <f t="shared" ca="1" si="76"/>
        <v>7</v>
      </c>
      <c r="Q168" s="357">
        <f t="shared" ca="1" si="77"/>
        <v>953.6792207792206</v>
      </c>
      <c r="R168" s="359">
        <f t="shared" ca="1" si="78"/>
        <v>0.47772868821927417</v>
      </c>
      <c r="S168" s="360">
        <f t="shared" ca="1" si="79"/>
        <v>11.680198894558329</v>
      </c>
      <c r="T168" s="357">
        <f t="shared" ca="1" si="59"/>
        <v>114.5827511556172</v>
      </c>
      <c r="U168" s="364">
        <f t="shared" ca="1" si="60"/>
        <v>0</v>
      </c>
      <c r="V168" s="359">
        <f t="shared" ca="1" si="61"/>
        <v>1.2132457854860235</v>
      </c>
      <c r="W168" s="357">
        <f t="shared" ca="1" si="62"/>
        <v>39.612312689763343</v>
      </c>
      <c r="X168" s="343"/>
      <c r="Y168" s="367" t="str">
        <f t="shared" ca="1" si="80"/>
        <v/>
      </c>
      <c r="Z168" s="368" t="str">
        <f t="shared" ca="1" si="81"/>
        <v/>
      </c>
      <c r="AA168" s="369" t="str">
        <f t="shared" ca="1" si="82"/>
        <v/>
      </c>
      <c r="AB168" s="344"/>
      <c r="AC168" s="363" t="e">
        <f t="shared" ca="1" si="83"/>
        <v>#N/A</v>
      </c>
      <c r="AD168" s="376" t="e">
        <f t="shared" ca="1" si="84"/>
        <v>#N/A</v>
      </c>
      <c r="AE168" s="377">
        <f t="shared" ca="1" si="63"/>
        <v>96.415337485215687</v>
      </c>
      <c r="AF168" s="344"/>
      <c r="AG168" s="359">
        <f t="shared" ca="1" si="85"/>
        <v>68.709517757369014</v>
      </c>
      <c r="AH168" s="357">
        <f t="shared" ca="1" si="86"/>
        <v>78.296292940978304</v>
      </c>
    </row>
    <row r="169" spans="1:34" x14ac:dyDescent="0.25">
      <c r="A169" s="402">
        <f t="shared" ca="1" si="64"/>
        <v>0.01</v>
      </c>
      <c r="B169" s="357">
        <f t="shared" ca="1" si="65"/>
        <v>1.6500000000000012</v>
      </c>
      <c r="C169" s="342"/>
      <c r="D169" s="359">
        <f t="shared" ca="1" si="66"/>
        <v>16.596682068343874</v>
      </c>
      <c r="E169" s="360">
        <f t="shared" ca="1" si="67"/>
        <v>66.590000209909434</v>
      </c>
      <c r="F169" s="357">
        <f t="shared" ca="1" si="68"/>
        <v>68.627093655737937</v>
      </c>
      <c r="G169" s="359">
        <f t="shared" ca="1" si="69"/>
        <v>25.549710405229746</v>
      </c>
      <c r="H169" s="360">
        <f t="shared" ca="1" si="70"/>
        <v>117.51564184818979</v>
      </c>
      <c r="I169" s="357">
        <f t="shared" ca="1" si="71"/>
        <v>120.26102353124691</v>
      </c>
      <c r="J169" s="359">
        <f t="shared" ca="1" si="72"/>
        <v>19.925078273480302</v>
      </c>
      <c r="K169" s="360">
        <f t="shared" ca="1" si="73"/>
        <v>97.587164403687083</v>
      </c>
      <c r="L169" s="357">
        <f t="shared" ca="1" si="58"/>
        <v>99.600519077746625</v>
      </c>
      <c r="M169" s="359">
        <f t="shared" ca="1" si="74"/>
        <v>1.35671263401465</v>
      </c>
      <c r="N169" s="357">
        <f t="shared" ca="1" si="75"/>
        <v>77.733907941116541</v>
      </c>
      <c r="O169" s="343"/>
      <c r="P169" s="363">
        <f t="shared" ca="1" si="76"/>
        <v>7</v>
      </c>
      <c r="Q169" s="357">
        <f t="shared" ca="1" si="77"/>
        <v>952.41948051948032</v>
      </c>
      <c r="R169" s="359">
        <f t="shared" ca="1" si="78"/>
        <v>0.47709764368284086</v>
      </c>
      <c r="S169" s="360">
        <f t="shared" ca="1" si="79"/>
        <v>11.6754279181215</v>
      </c>
      <c r="T169" s="357">
        <f t="shared" ca="1" si="59"/>
        <v>114.53594787677191</v>
      </c>
      <c r="U169" s="364">
        <f t="shared" ca="1" si="60"/>
        <v>0</v>
      </c>
      <c r="V169" s="359">
        <f t="shared" ca="1" si="61"/>
        <v>1.2131036190646556</v>
      </c>
      <c r="W169" s="357">
        <f t="shared" ca="1" si="62"/>
        <v>40.063402717614572</v>
      </c>
      <c r="X169" s="343"/>
      <c r="Y169" s="367" t="str">
        <f t="shared" ca="1" si="80"/>
        <v/>
      </c>
      <c r="Z169" s="368" t="str">
        <f t="shared" ca="1" si="81"/>
        <v/>
      </c>
      <c r="AA169" s="369" t="str">
        <f t="shared" ca="1" si="82"/>
        <v/>
      </c>
      <c r="AB169" s="344"/>
      <c r="AC169" s="363" t="e">
        <f t="shared" ca="1" si="83"/>
        <v>#N/A</v>
      </c>
      <c r="AD169" s="376" t="e">
        <f t="shared" ca="1" si="84"/>
        <v>#N/A</v>
      </c>
      <c r="AE169" s="377">
        <f t="shared" ca="1" si="63"/>
        <v>97.587164403687083</v>
      </c>
      <c r="AF169" s="344"/>
      <c r="AG169" s="359">
        <f t="shared" ca="1" si="85"/>
        <v>68.595489622965957</v>
      </c>
      <c r="AH169" s="357">
        <f t="shared" ca="1" si="86"/>
        <v>78.181902559043991</v>
      </c>
    </row>
    <row r="170" spans="1:34" x14ac:dyDescent="0.25">
      <c r="A170" s="402">
        <f t="shared" ca="1" si="64"/>
        <v>0.01</v>
      </c>
      <c r="B170" s="357">
        <f t="shared" ca="1" si="65"/>
        <v>1.6600000000000013</v>
      </c>
      <c r="C170" s="342"/>
      <c r="D170" s="359">
        <f t="shared" ca="1" si="66"/>
        <v>16.585548897212167</v>
      </c>
      <c r="E170" s="360">
        <f t="shared" ca="1" si="67"/>
        <v>66.475069112230429</v>
      </c>
      <c r="F170" s="357">
        <f t="shared" ca="1" si="68"/>
        <v>68.512883793470749</v>
      </c>
      <c r="G170" s="359">
        <f t="shared" ca="1" si="69"/>
        <v>25.715565894201866</v>
      </c>
      <c r="H170" s="360">
        <f t="shared" ca="1" si="70"/>
        <v>118.18039253931209</v>
      </c>
      <c r="I170" s="357">
        <f t="shared" ca="1" si="71"/>
        <v>120.94583709249744</v>
      </c>
      <c r="J170" s="359">
        <f t="shared" ca="1" si="72"/>
        <v>20.18140465497746</v>
      </c>
      <c r="K170" s="360">
        <f t="shared" ca="1" si="73"/>
        <v>98.765644575624592</v>
      </c>
      <c r="L170" s="357">
        <f t="shared" ca="1" si="58"/>
        <v>100.8064563521928</v>
      </c>
      <c r="M170" s="359">
        <f t="shared" ca="1" si="74"/>
        <v>1.3565403126318389</v>
      </c>
      <c r="N170" s="357">
        <f t="shared" ca="1" si="75"/>
        <v>77.72403465316161</v>
      </c>
      <c r="O170" s="343"/>
      <c r="P170" s="363">
        <f t="shared" ca="1" si="76"/>
        <v>7</v>
      </c>
      <c r="Q170" s="357">
        <f t="shared" ca="1" si="77"/>
        <v>951.15974025974003</v>
      </c>
      <c r="R170" s="359">
        <f t="shared" ca="1" si="78"/>
        <v>0.47646659914640749</v>
      </c>
      <c r="S170" s="360">
        <f t="shared" ca="1" si="79"/>
        <v>11.670663252130035</v>
      </c>
      <c r="T170" s="357">
        <f t="shared" ca="1" si="59"/>
        <v>114.48920650339565</v>
      </c>
      <c r="U170" s="364">
        <f t="shared" ca="1" si="60"/>
        <v>0</v>
      </c>
      <c r="V170" s="359">
        <f t="shared" ca="1" si="61"/>
        <v>1.212960662187452</v>
      </c>
      <c r="W170" s="357">
        <f t="shared" ca="1" si="62"/>
        <v>40.516200208234949</v>
      </c>
      <c r="X170" s="343"/>
      <c r="Y170" s="367" t="str">
        <f t="shared" ca="1" si="80"/>
        <v/>
      </c>
      <c r="Z170" s="368" t="str">
        <f t="shared" ca="1" si="81"/>
        <v/>
      </c>
      <c r="AA170" s="369" t="str">
        <f t="shared" ca="1" si="82"/>
        <v/>
      </c>
      <c r="AB170" s="344"/>
      <c r="AC170" s="363" t="e">
        <f t="shared" ca="1" si="83"/>
        <v>#N/A</v>
      </c>
      <c r="AD170" s="376" t="e">
        <f t="shared" ca="1" si="84"/>
        <v>#N/A</v>
      </c>
      <c r="AE170" s="377">
        <f t="shared" ca="1" si="63"/>
        <v>98.765644575624592</v>
      </c>
      <c r="AF170" s="344"/>
      <c r="AG170" s="359">
        <f t="shared" ca="1" si="85"/>
        <v>68.48117655278611</v>
      </c>
      <c r="AH170" s="357">
        <f t="shared" ca="1" si="86"/>
        <v>78.067228730624151</v>
      </c>
    </row>
    <row r="171" spans="1:34" x14ac:dyDescent="0.25">
      <c r="A171" s="402">
        <f t="shared" ca="1" si="64"/>
        <v>0.01</v>
      </c>
      <c r="B171" s="357">
        <f t="shared" ca="1" si="65"/>
        <v>1.6700000000000013</v>
      </c>
      <c r="C171" s="342"/>
      <c r="D171" s="359">
        <f t="shared" ca="1" si="66"/>
        <v>16.574252189339479</v>
      </c>
      <c r="E171" s="360">
        <f t="shared" ca="1" si="67"/>
        <v>66.359882391090451</v>
      </c>
      <c r="F171" s="357">
        <f t="shared" ca="1" si="68"/>
        <v>68.398390526350695</v>
      </c>
      <c r="G171" s="359">
        <f t="shared" ca="1" si="69"/>
        <v>25.881308416095262</v>
      </c>
      <c r="H171" s="360">
        <f t="shared" ca="1" si="70"/>
        <v>118.843991363223</v>
      </c>
      <c r="I171" s="357">
        <f t="shared" ca="1" si="71"/>
        <v>121.62950467904926</v>
      </c>
      <c r="J171" s="359">
        <f t="shared" ca="1" si="72"/>
        <v>20.439389026528946</v>
      </c>
      <c r="K171" s="360">
        <f t="shared" ca="1" si="73"/>
        <v>99.950766495137273</v>
      </c>
      <c r="L171" s="357">
        <f t="shared" ca="1" si="58"/>
        <v>102.01923518015242</v>
      </c>
      <c r="M171" s="359">
        <f t="shared" ca="1" si="74"/>
        <v>1.3563688240406842</v>
      </c>
      <c r="N171" s="357">
        <f t="shared" ca="1" si="75"/>
        <v>77.714209080653788</v>
      </c>
      <c r="O171" s="343"/>
      <c r="P171" s="363">
        <f t="shared" ca="1" si="76"/>
        <v>7</v>
      </c>
      <c r="Q171" s="357">
        <f t="shared" ca="1" si="77"/>
        <v>949.89999999999975</v>
      </c>
      <c r="R171" s="359">
        <f t="shared" ca="1" si="78"/>
        <v>0.47583555460997418</v>
      </c>
      <c r="S171" s="360">
        <f t="shared" ca="1" si="79"/>
        <v>11.665904896583935</v>
      </c>
      <c r="T171" s="357">
        <f t="shared" ca="1" si="59"/>
        <v>114.44252703548841</v>
      </c>
      <c r="U171" s="364">
        <f t="shared" ca="1" si="60"/>
        <v>0</v>
      </c>
      <c r="V171" s="359">
        <f t="shared" ca="1" si="61"/>
        <v>1.2128169165308962</v>
      </c>
      <c r="W171" s="357">
        <f t="shared" ca="1" si="62"/>
        <v>40.970688753728979</v>
      </c>
      <c r="X171" s="343"/>
      <c r="Y171" s="367" t="str">
        <f t="shared" ca="1" si="80"/>
        <v/>
      </c>
      <c r="Z171" s="368" t="str">
        <f t="shared" ca="1" si="81"/>
        <v/>
      </c>
      <c r="AA171" s="369" t="str">
        <f t="shared" ca="1" si="82"/>
        <v/>
      </c>
      <c r="AB171" s="344"/>
      <c r="AC171" s="363" t="e">
        <f t="shared" ca="1" si="83"/>
        <v>#N/A</v>
      </c>
      <c r="AD171" s="376" t="e">
        <f t="shared" ca="1" si="84"/>
        <v>#N/A</v>
      </c>
      <c r="AE171" s="377">
        <f t="shared" ca="1" si="63"/>
        <v>99.950766495137273</v>
      </c>
      <c r="AF171" s="344"/>
      <c r="AG171" s="359">
        <f t="shared" ca="1" si="85"/>
        <v>68.366579809109083</v>
      </c>
      <c r="AH171" s="357">
        <f t="shared" ca="1" si="86"/>
        <v>77.952272700084734</v>
      </c>
    </row>
    <row r="172" spans="1:34" x14ac:dyDescent="0.25">
      <c r="A172" s="402">
        <f t="shared" ca="1" si="64"/>
        <v>0.01</v>
      </c>
      <c r="B172" s="357">
        <f t="shared" ca="1" si="65"/>
        <v>1.6800000000000013</v>
      </c>
      <c r="C172" s="342"/>
      <c r="D172" s="359">
        <f t="shared" ca="1" si="66"/>
        <v>16.5627931550585</v>
      </c>
      <c r="E172" s="360">
        <f t="shared" ca="1" si="67"/>
        <v>66.244441105709541</v>
      </c>
      <c r="F172" s="357">
        <f t="shared" ca="1" si="68"/>
        <v>68.283615124750625</v>
      </c>
      <c r="G172" s="359">
        <f t="shared" ca="1" si="69"/>
        <v>26.046936347645847</v>
      </c>
      <c r="H172" s="360">
        <f t="shared" ca="1" si="70"/>
        <v>119.50643577428009</v>
      </c>
      <c r="I172" s="357">
        <f t="shared" ca="1" si="71"/>
        <v>122.31202346691207</v>
      </c>
      <c r="J172" s="359">
        <f t="shared" ca="1" si="72"/>
        <v>20.699030250347651</v>
      </c>
      <c r="K172" s="360">
        <f t="shared" ca="1" si="73"/>
        <v>101.14251863082478</v>
      </c>
      <c r="L172" s="357">
        <f t="shared" ca="1" si="58"/>
        <v>103.23884408637838</v>
      </c>
      <c r="M172" s="359">
        <f t="shared" ca="1" si="74"/>
        <v>1.3561981579861901</v>
      </c>
      <c r="N172" s="357">
        <f t="shared" ca="1" si="75"/>
        <v>77.704430636025137</v>
      </c>
      <c r="O172" s="343"/>
      <c r="P172" s="363">
        <f t="shared" ca="1" si="76"/>
        <v>7</v>
      </c>
      <c r="Q172" s="357">
        <f t="shared" ca="1" si="77"/>
        <v>948.64025974025958</v>
      </c>
      <c r="R172" s="359">
        <f t="shared" ca="1" si="78"/>
        <v>0.47520451007354086</v>
      </c>
      <c r="S172" s="360">
        <f t="shared" ca="1" si="79"/>
        <v>11.6611528514832</v>
      </c>
      <c r="T172" s="357">
        <f t="shared" ca="1" si="59"/>
        <v>114.3959094730502</v>
      </c>
      <c r="U172" s="364">
        <f t="shared" ca="1" si="60"/>
        <v>0</v>
      </c>
      <c r="V172" s="359">
        <f t="shared" ca="1" si="61"/>
        <v>1.2126723837754074</v>
      </c>
      <c r="W172" s="357">
        <f t="shared" ca="1" si="62"/>
        <v>41.426851936195256</v>
      </c>
      <c r="X172" s="343"/>
      <c r="Y172" s="367" t="str">
        <f t="shared" ca="1" si="80"/>
        <v/>
      </c>
      <c r="Z172" s="368" t="str">
        <f t="shared" ca="1" si="81"/>
        <v/>
      </c>
      <c r="AA172" s="369" t="str">
        <f t="shared" ca="1" si="82"/>
        <v/>
      </c>
      <c r="AB172" s="344"/>
      <c r="AC172" s="363" t="e">
        <f t="shared" ca="1" si="83"/>
        <v>#N/A</v>
      </c>
      <c r="AD172" s="376" t="e">
        <f t="shared" ca="1" si="84"/>
        <v>#N/A</v>
      </c>
      <c r="AE172" s="377">
        <f t="shared" ca="1" si="63"/>
        <v>101.14251863082478</v>
      </c>
      <c r="AF172" s="344"/>
      <c r="AG172" s="359">
        <f t="shared" ca="1" si="85"/>
        <v>68.251700657763692</v>
      </c>
      <c r="AH172" s="357">
        <f t="shared" ca="1" si="86"/>
        <v>77.837035715648199</v>
      </c>
    </row>
    <row r="173" spans="1:34" x14ac:dyDescent="0.25">
      <c r="A173" s="402">
        <f t="shared" ca="1" si="64"/>
        <v>0.01</v>
      </c>
      <c r="B173" s="357">
        <f t="shared" ca="1" si="65"/>
        <v>1.6900000000000013</v>
      </c>
      <c r="C173" s="342"/>
      <c r="D173" s="359">
        <f t="shared" ca="1" si="66"/>
        <v>16.5511729887073</v>
      </c>
      <c r="E173" s="360">
        <f t="shared" ca="1" si="67"/>
        <v>66.128746321799966</v>
      </c>
      <c r="F173" s="357">
        <f t="shared" ca="1" si="68"/>
        <v>68.168558862536372</v>
      </c>
      <c r="G173" s="359">
        <f t="shared" ca="1" si="69"/>
        <v>26.212448077532919</v>
      </c>
      <c r="H173" s="360">
        <f t="shared" ca="1" si="70"/>
        <v>120.16772323749809</v>
      </c>
      <c r="I173" s="357">
        <f t="shared" ca="1" si="71"/>
        <v>122.99339064478748</v>
      </c>
      <c r="J173" s="359">
        <f t="shared" ca="1" si="72"/>
        <v>20.960327172473544</v>
      </c>
      <c r="K173" s="360">
        <f t="shared" ca="1" si="73"/>
        <v>102.34088942588367</v>
      </c>
      <c r="L173" s="357">
        <f t="shared" ca="1" si="58"/>
        <v>104.46527156743566</v>
      </c>
      <c r="M173" s="359">
        <f t="shared" ca="1" si="74"/>
        <v>1.3560283043951886</v>
      </c>
      <c r="N173" s="357">
        <f t="shared" ca="1" si="75"/>
        <v>77.69469874212561</v>
      </c>
      <c r="O173" s="343"/>
      <c r="P173" s="363">
        <f t="shared" ca="1" si="76"/>
        <v>7</v>
      </c>
      <c r="Q173" s="357">
        <f t="shared" ca="1" si="77"/>
        <v>947.3805194805193</v>
      </c>
      <c r="R173" s="359">
        <f t="shared" ca="1" si="78"/>
        <v>0.47457346553710755</v>
      </c>
      <c r="S173" s="360">
        <f t="shared" ca="1" si="79"/>
        <v>11.656407116827829</v>
      </c>
      <c r="T173" s="357">
        <f t="shared" ca="1" si="59"/>
        <v>114.34935381608101</v>
      </c>
      <c r="U173" s="364">
        <f t="shared" ca="1" si="60"/>
        <v>0</v>
      </c>
      <c r="V173" s="359">
        <f t="shared" ca="1" si="61"/>
        <v>1.2125270656053144</v>
      </c>
      <c r="W173" s="357">
        <f t="shared" ca="1" si="62"/>
        <v>41.884673328305603</v>
      </c>
      <c r="X173" s="343"/>
      <c r="Y173" s="367" t="str">
        <f t="shared" ca="1" si="80"/>
        <v/>
      </c>
      <c r="Z173" s="368" t="str">
        <f t="shared" ca="1" si="81"/>
        <v/>
      </c>
      <c r="AA173" s="369" t="str">
        <f t="shared" ca="1" si="82"/>
        <v/>
      </c>
      <c r="AB173" s="344"/>
      <c r="AC173" s="363" t="e">
        <f t="shared" ca="1" si="83"/>
        <v>#N/A</v>
      </c>
      <c r="AD173" s="376" t="e">
        <f t="shared" ca="1" si="84"/>
        <v>#N/A</v>
      </c>
      <c r="AE173" s="377">
        <f t="shared" ca="1" si="63"/>
        <v>102.34088942588367</v>
      </c>
      <c r="AF173" s="344"/>
      <c r="AG173" s="359">
        <f t="shared" ca="1" si="85"/>
        <v>68.136540368086386</v>
      </c>
      <c r="AH173" s="357">
        <f t="shared" ca="1" si="86"/>
        <v>77.721519029344776</v>
      </c>
    </row>
    <row r="174" spans="1:34" x14ac:dyDescent="0.25">
      <c r="A174" s="402">
        <f t="shared" ca="1" si="64"/>
        <v>0.01</v>
      </c>
      <c r="B174" s="357">
        <f t="shared" ca="1" si="65"/>
        <v>1.7000000000000013</v>
      </c>
      <c r="C174" s="342"/>
      <c r="D174" s="359">
        <f t="shared" ca="1" si="66"/>
        <v>16.539392869032469</v>
      </c>
      <c r="E174" s="360">
        <f t="shared" ca="1" si="67"/>
        <v>66.012799111451926</v>
      </c>
      <c r="F174" s="357">
        <f t="shared" ca="1" si="68"/>
        <v>68.053223017026241</v>
      </c>
      <c r="G174" s="359">
        <f t="shared" ca="1" si="69"/>
        <v>26.377842006223243</v>
      </c>
      <c r="H174" s="360">
        <f t="shared" ca="1" si="70"/>
        <v>120.82785122861262</v>
      </c>
      <c r="I174" s="357">
        <f t="shared" ca="1" si="71"/>
        <v>123.67360341410377</v>
      </c>
      <c r="J174" s="359">
        <f t="shared" ca="1" si="72"/>
        <v>21.223278622892327</v>
      </c>
      <c r="K174" s="360">
        <f t="shared" ca="1" si="73"/>
        <v>103.54586729821423</v>
      </c>
      <c r="L174" s="357">
        <f t="shared" ca="1" si="58"/>
        <v>105.69850609182852</v>
      </c>
      <c r="M174" s="359">
        <f t="shared" ca="1" si="74"/>
        <v>1.3558592533719998</v>
      </c>
      <c r="N174" s="357">
        <f t="shared" ca="1" si="75"/>
        <v>77.685012831974518</v>
      </c>
      <c r="O174" s="343"/>
      <c r="P174" s="363">
        <f t="shared" ca="1" si="76"/>
        <v>7</v>
      </c>
      <c r="Q174" s="357">
        <f t="shared" ca="1" si="77"/>
        <v>946.12077922077901</v>
      </c>
      <c r="R174" s="359">
        <f t="shared" ca="1" si="78"/>
        <v>0.47394242100067419</v>
      </c>
      <c r="S174" s="360">
        <f t="shared" ca="1" si="79"/>
        <v>11.651667692617822</v>
      </c>
      <c r="T174" s="357">
        <f t="shared" ca="1" si="59"/>
        <v>114.30286006458084</v>
      </c>
      <c r="U174" s="364">
        <f t="shared" ca="1" si="60"/>
        <v>0</v>
      </c>
      <c r="V174" s="359">
        <f t="shared" ca="1" si="61"/>
        <v>1.2123809637088308</v>
      </c>
      <c r="W174" s="357">
        <f t="shared" ca="1" si="62"/>
        <v>42.344136493883546</v>
      </c>
      <c r="X174" s="343"/>
      <c r="Y174" s="367" t="str">
        <f t="shared" ca="1" si="80"/>
        <v/>
      </c>
      <c r="Z174" s="368" t="str">
        <f t="shared" ca="1" si="81"/>
        <v/>
      </c>
      <c r="AA174" s="369" t="str">
        <f t="shared" ca="1" si="82"/>
        <v/>
      </c>
      <c r="AB174" s="344"/>
      <c r="AC174" s="363" t="e">
        <f t="shared" ca="1" si="83"/>
        <v>#N/A</v>
      </c>
      <c r="AD174" s="376" t="e">
        <f t="shared" ca="1" si="84"/>
        <v>#N/A</v>
      </c>
      <c r="AE174" s="377">
        <f t="shared" ca="1" si="63"/>
        <v>103.54586729821423</v>
      </c>
      <c r="AF174" s="344"/>
      <c r="AG174" s="359">
        <f t="shared" ca="1" si="85"/>
        <v>68.021100212879674</v>
      </c>
      <c r="AH174" s="357">
        <f t="shared" ca="1" si="86"/>
        <v>77.605723896963923</v>
      </c>
    </row>
    <row r="175" spans="1:34" x14ac:dyDescent="0.25">
      <c r="A175" s="402">
        <f t="shared" ca="1" si="64"/>
        <v>0.01</v>
      </c>
      <c r="B175" s="357">
        <f t="shared" ca="1" si="65"/>
        <v>1.7100000000000013</v>
      </c>
      <c r="C175" s="342"/>
      <c r="D175" s="359">
        <f t="shared" ca="1" si="66"/>
        <v>16.527453959579649</v>
      </c>
      <c r="E175" s="360">
        <f t="shared" ca="1" si="67"/>
        <v>65.896600553020733</v>
      </c>
      <c r="F175" s="357">
        <f t="shared" ca="1" si="68"/>
        <v>67.937608868949738</v>
      </c>
      <c r="G175" s="359">
        <f t="shared" ca="1" si="69"/>
        <v>26.543116545819039</v>
      </c>
      <c r="H175" s="360">
        <f t="shared" ca="1" si="70"/>
        <v>121.48681723414282</v>
      </c>
      <c r="I175" s="357">
        <f t="shared" ca="1" si="71"/>
        <v>124.35265898904998</v>
      </c>
      <c r="J175" s="359">
        <f t="shared" ca="1" si="72"/>
        <v>21.487883415652536</v>
      </c>
      <c r="K175" s="360">
        <f t="shared" ca="1" si="73"/>
        <v>104.75744064052802</v>
      </c>
      <c r="L175" s="357">
        <f t="shared" ca="1" si="58"/>
        <v>106.93853610012822</v>
      </c>
      <c r="M175" s="359">
        <f t="shared" ca="1" si="74"/>
        <v>1.3556909951942218</v>
      </c>
      <c r="N175" s="357">
        <f t="shared" ca="1" si="75"/>
        <v>77.675372348519275</v>
      </c>
      <c r="O175" s="343"/>
      <c r="P175" s="363">
        <f t="shared" ca="1" si="76"/>
        <v>7</v>
      </c>
      <c r="Q175" s="357">
        <f t="shared" ca="1" si="77"/>
        <v>944.86103896103873</v>
      </c>
      <c r="R175" s="359">
        <f t="shared" ca="1" si="78"/>
        <v>0.47331137646424087</v>
      </c>
      <c r="S175" s="360">
        <f t="shared" ca="1" si="79"/>
        <v>11.64693457885318</v>
      </c>
      <c r="T175" s="357">
        <f t="shared" ca="1" si="59"/>
        <v>114.2564282185497</v>
      </c>
      <c r="U175" s="364">
        <f t="shared" ca="1" si="60"/>
        <v>0</v>
      </c>
      <c r="V175" s="359">
        <f t="shared" ca="1" si="61"/>
        <v>1.2122340797780291</v>
      </c>
      <c r="W175" s="357">
        <f t="shared" ca="1" si="62"/>
        <v>42.805224988481569</v>
      </c>
      <c r="X175" s="343"/>
      <c r="Y175" s="367" t="str">
        <f t="shared" ca="1" si="80"/>
        <v/>
      </c>
      <c r="Z175" s="368" t="str">
        <f t="shared" ca="1" si="81"/>
        <v/>
      </c>
      <c r="AA175" s="369" t="str">
        <f t="shared" ca="1" si="82"/>
        <v/>
      </c>
      <c r="AB175" s="344"/>
      <c r="AC175" s="363" t="e">
        <f t="shared" ca="1" si="83"/>
        <v>#N/A</v>
      </c>
      <c r="AD175" s="376" t="e">
        <f t="shared" ca="1" si="84"/>
        <v>#N/A</v>
      </c>
      <c r="AE175" s="377">
        <f t="shared" ca="1" si="63"/>
        <v>104.75744064052802</v>
      </c>
      <c r="AF175" s="344"/>
      <c r="AG175" s="359">
        <f t="shared" ca="1" si="85"/>
        <v>67.905381468369995</v>
      </c>
      <c r="AH175" s="357">
        <f t="shared" ca="1" si="86"/>
        <v>77.489651578005336</v>
      </c>
    </row>
    <row r="176" spans="1:34" x14ac:dyDescent="0.25">
      <c r="A176" s="402">
        <f t="shared" ca="1" si="64"/>
        <v>0.01</v>
      </c>
      <c r="B176" s="357">
        <f t="shared" ca="1" si="65"/>
        <v>1.7200000000000013</v>
      </c>
      <c r="C176" s="342"/>
      <c r="D176" s="359">
        <f t="shared" ca="1" si="66"/>
        <v>16.515357409072248</v>
      </c>
      <c r="E176" s="360">
        <f t="shared" ca="1" si="67"/>
        <v>65.780151731016147</v>
      </c>
      <c r="F176" s="357">
        <f t="shared" ca="1" si="68"/>
        <v>67.821717702406389</v>
      </c>
      <c r="G176" s="359">
        <f t="shared" ca="1" si="69"/>
        <v>26.708270119909763</v>
      </c>
      <c r="H176" s="360">
        <f t="shared" ca="1" si="70"/>
        <v>122.14461875145298</v>
      </c>
      <c r="I176" s="357">
        <f t="shared" ca="1" si="71"/>
        <v>125.03055459660996</v>
      </c>
      <c r="J176" s="359">
        <f t="shared" ca="1" si="72"/>
        <v>21.754140348981181</v>
      </c>
      <c r="K176" s="360">
        <f t="shared" ca="1" si="73"/>
        <v>105.975597820456</v>
      </c>
      <c r="L176" s="357">
        <f t="shared" ca="1" si="58"/>
        <v>108.18535000510101</v>
      </c>
      <c r="M176" s="359">
        <f t="shared" ca="1" si="74"/>
        <v>1.3555235203086464</v>
      </c>
      <c r="N176" s="357">
        <f t="shared" ca="1" si="75"/>
        <v>77.66577674440137</v>
      </c>
      <c r="O176" s="343"/>
      <c r="P176" s="363">
        <f t="shared" ca="1" si="76"/>
        <v>7</v>
      </c>
      <c r="Q176" s="357">
        <f t="shared" ca="1" si="77"/>
        <v>943.60129870129845</v>
      </c>
      <c r="R176" s="359">
        <f t="shared" ca="1" si="78"/>
        <v>0.47268033192780751</v>
      </c>
      <c r="S176" s="360">
        <f t="shared" ca="1" si="79"/>
        <v>11.642207775533903</v>
      </c>
      <c r="T176" s="357">
        <f t="shared" ca="1" si="59"/>
        <v>114.2100582779876</v>
      </c>
      <c r="U176" s="364">
        <f t="shared" ca="1" si="60"/>
        <v>0</v>
      </c>
      <c r="V176" s="359">
        <f t="shared" ca="1" si="61"/>
        <v>1.2120864155088171</v>
      </c>
      <c r="W176" s="357">
        <f t="shared" ca="1" si="62"/>
        <v>43.267922359957844</v>
      </c>
      <c r="X176" s="343"/>
      <c r="Y176" s="367" t="str">
        <f t="shared" ca="1" si="80"/>
        <v/>
      </c>
      <c r="Z176" s="368" t="str">
        <f t="shared" ca="1" si="81"/>
        <v/>
      </c>
      <c r="AA176" s="369" t="str">
        <f t="shared" ca="1" si="82"/>
        <v/>
      </c>
      <c r="AB176" s="344"/>
      <c r="AC176" s="363" t="e">
        <f t="shared" ca="1" si="83"/>
        <v>#N/A</v>
      </c>
      <c r="AD176" s="376" t="e">
        <f t="shared" ca="1" si="84"/>
        <v>#N/A</v>
      </c>
      <c r="AE176" s="377">
        <f t="shared" ca="1" si="63"/>
        <v>105.975597820456</v>
      </c>
      <c r="AF176" s="344"/>
      <c r="AG176" s="359">
        <f t="shared" ca="1" si="85"/>
        <v>67.789385414165508</v>
      </c>
      <c r="AH176" s="357">
        <f t="shared" ca="1" si="86"/>
        <v>77.373303335630183</v>
      </c>
    </row>
    <row r="177" spans="1:34" x14ac:dyDescent="0.25">
      <c r="A177" s="402">
        <f t="shared" ca="1" si="64"/>
        <v>0.01</v>
      </c>
      <c r="B177" s="357">
        <f t="shared" ca="1" si="65"/>
        <v>1.7300000000000013</v>
      </c>
      <c r="C177" s="342"/>
      <c r="D177" s="359">
        <f t="shared" ca="1" si="66"/>
        <v>16.503104351778436</v>
      </c>
      <c r="E177" s="360">
        <f t="shared" ca="1" si="67"/>
        <v>65.663453735993286</v>
      </c>
      <c r="F177" s="357">
        <f t="shared" ca="1" si="68"/>
        <v>67.705550804824114</v>
      </c>
      <c r="G177" s="359">
        <f t="shared" ca="1" si="69"/>
        <v>26.873301163427548</v>
      </c>
      <c r="H177" s="360">
        <f t="shared" ca="1" si="70"/>
        <v>122.80125328881292</v>
      </c>
      <c r="I177" s="357">
        <f t="shared" ca="1" si="71"/>
        <v>125.70728747659565</v>
      </c>
      <c r="J177" s="359">
        <f t="shared" ca="1" si="72"/>
        <v>22.022048205397869</v>
      </c>
      <c r="K177" s="360">
        <f t="shared" ca="1" si="73"/>
        <v>107.20032718065733</v>
      </c>
      <c r="L177" s="357">
        <f t="shared" ca="1" si="58"/>
        <v>109.43893619183642</v>
      </c>
      <c r="M177" s="359">
        <f t="shared" ca="1" si="74"/>
        <v>1.355356819327294</v>
      </c>
      <c r="N177" s="357">
        <f t="shared" ca="1" si="75"/>
        <v>77.656225481729194</v>
      </c>
      <c r="O177" s="343"/>
      <c r="P177" s="363">
        <f t="shared" ca="1" si="76"/>
        <v>7</v>
      </c>
      <c r="Q177" s="357">
        <f t="shared" ca="1" si="77"/>
        <v>942.34155844155828</v>
      </c>
      <c r="R177" s="359">
        <f t="shared" ca="1" si="78"/>
        <v>0.47204928739137425</v>
      </c>
      <c r="S177" s="360">
        <f t="shared" ca="1" si="79"/>
        <v>11.63748728265999</v>
      </c>
      <c r="T177" s="357">
        <f t="shared" ca="1" si="59"/>
        <v>114.16375024289451</v>
      </c>
      <c r="U177" s="364">
        <f t="shared" ca="1" si="60"/>
        <v>0</v>
      </c>
      <c r="V177" s="359">
        <f t="shared" ca="1" si="61"/>
        <v>1.211937972600911</v>
      </c>
      <c r="W177" s="357">
        <f t="shared" ca="1" si="62"/>
        <v>43.732212149051733</v>
      </c>
      <c r="X177" s="343"/>
      <c r="Y177" s="367" t="str">
        <f t="shared" ca="1" si="80"/>
        <v/>
      </c>
      <c r="Z177" s="368" t="str">
        <f t="shared" ca="1" si="81"/>
        <v/>
      </c>
      <c r="AA177" s="369" t="str">
        <f t="shared" ca="1" si="82"/>
        <v/>
      </c>
      <c r="AB177" s="344"/>
      <c r="AC177" s="363" t="e">
        <f t="shared" ca="1" si="83"/>
        <v>#N/A</v>
      </c>
      <c r="AD177" s="376" t="e">
        <f t="shared" ca="1" si="84"/>
        <v>#N/A</v>
      </c>
      <c r="AE177" s="377">
        <f t="shared" ca="1" si="63"/>
        <v>107.20032718065733</v>
      </c>
      <c r="AF177" s="344"/>
      <c r="AG177" s="359">
        <f t="shared" ca="1" si="85"/>
        <v>67.673113333213536</v>
      </c>
      <c r="AH177" s="357">
        <f t="shared" ca="1" si="86"/>
        <v>77.256680436612129</v>
      </c>
    </row>
    <row r="178" spans="1:34" x14ac:dyDescent="0.25">
      <c r="A178" s="402">
        <f t="shared" ca="1" si="64"/>
        <v>0.01</v>
      </c>
      <c r="B178" s="357">
        <f t="shared" ca="1" si="65"/>
        <v>1.7400000000000013</v>
      </c>
      <c r="C178" s="342"/>
      <c r="D178" s="359">
        <f t="shared" ca="1" si="66"/>
        <v>16.490695907867078</v>
      </c>
      <c r="E178" s="360">
        <f t="shared" ca="1" si="67"/>
        <v>65.546507664445329</v>
      </c>
      <c r="F178" s="357">
        <f t="shared" ca="1" si="68"/>
        <v>67.589109466917321</v>
      </c>
      <c r="G178" s="359">
        <f t="shared" ca="1" si="69"/>
        <v>27.038208122506219</v>
      </c>
      <c r="H178" s="360">
        <f t="shared" ca="1" si="70"/>
        <v>123.45671836545736</v>
      </c>
      <c r="I178" s="357">
        <f t="shared" ca="1" si="71"/>
        <v>126.38285488168012</v>
      </c>
      <c r="J178" s="359">
        <f t="shared" ca="1" si="72"/>
        <v>22.291605751827539</v>
      </c>
      <c r="K178" s="360">
        <f t="shared" ca="1" si="73"/>
        <v>108.43161703892868</v>
      </c>
      <c r="L178" s="357">
        <f t="shared" ca="1" si="58"/>
        <v>110.69928301787596</v>
      </c>
      <c r="M178" s="359">
        <f t="shared" ca="1" si="74"/>
        <v>1.3551908830235644</v>
      </c>
      <c r="N178" s="357">
        <f t="shared" ca="1" si="75"/>
        <v>77.646718031857489</v>
      </c>
      <c r="O178" s="343"/>
      <c r="P178" s="363">
        <f t="shared" ca="1" si="76"/>
        <v>7</v>
      </c>
      <c r="Q178" s="357">
        <f t="shared" ca="1" si="77"/>
        <v>941.08181818181799</v>
      </c>
      <c r="R178" s="359">
        <f t="shared" ca="1" si="78"/>
        <v>0.47141824285494088</v>
      </c>
      <c r="S178" s="360">
        <f t="shared" ca="1" si="79"/>
        <v>11.632773100231441</v>
      </c>
      <c r="T178" s="357">
        <f t="shared" ca="1" si="59"/>
        <v>114.11750411327044</v>
      </c>
      <c r="U178" s="364">
        <f t="shared" ca="1" si="60"/>
        <v>0</v>
      </c>
      <c r="V178" s="359">
        <f t="shared" ca="1" si="61"/>
        <v>1.21178875275781</v>
      </c>
      <c r="W178" s="357">
        <f t="shared" ca="1" si="62"/>
        <v>44.198077889958419</v>
      </c>
      <c r="X178" s="343"/>
      <c r="Y178" s="367" t="str">
        <f t="shared" ca="1" si="80"/>
        <v/>
      </c>
      <c r="Z178" s="368" t="str">
        <f t="shared" ca="1" si="81"/>
        <v/>
      </c>
      <c r="AA178" s="369" t="str">
        <f t="shared" ca="1" si="82"/>
        <v/>
      </c>
      <c r="AB178" s="344"/>
      <c r="AC178" s="363" t="e">
        <f t="shared" ca="1" si="83"/>
        <v>#N/A</v>
      </c>
      <c r="AD178" s="376" t="e">
        <f t="shared" ca="1" si="84"/>
        <v>#N/A</v>
      </c>
      <c r="AE178" s="377">
        <f t="shared" ca="1" si="63"/>
        <v>108.43161703892868</v>
      </c>
      <c r="AF178" s="344"/>
      <c r="AG178" s="359">
        <f t="shared" ca="1" si="85"/>
        <v>67.556566511757723</v>
      </c>
      <c r="AH178" s="357">
        <f t="shared" ca="1" si="86"/>
        <v>77.13978415128831</v>
      </c>
    </row>
    <row r="179" spans="1:34" x14ac:dyDescent="0.25">
      <c r="A179" s="402">
        <f t="shared" ca="1" si="64"/>
        <v>0.01</v>
      </c>
      <c r="B179" s="357">
        <f t="shared" ca="1" si="65"/>
        <v>1.7500000000000013</v>
      </c>
      <c r="C179" s="342"/>
      <c r="D179" s="359">
        <f t="shared" ca="1" si="66"/>
        <v>16.478133183752885</v>
      </c>
      <c r="E179" s="360">
        <f t="shared" ca="1" si="67"/>
        <v>65.429314618697802</v>
      </c>
      <c r="F179" s="357">
        <f t="shared" ca="1" si="68"/>
        <v>67.472394982644857</v>
      </c>
      <c r="G179" s="359">
        <f t="shared" ca="1" si="69"/>
        <v>27.202989454343747</v>
      </c>
      <c r="H179" s="360">
        <f t="shared" ca="1" si="70"/>
        <v>124.11101151164434</v>
      </c>
      <c r="I179" s="357">
        <f t="shared" ca="1" si="71"/>
        <v>127.05725407743019</v>
      </c>
      <c r="J179" s="359">
        <f t="shared" ca="1" si="72"/>
        <v>22.56281173971179</v>
      </c>
      <c r="K179" s="360">
        <f t="shared" ca="1" si="73"/>
        <v>109.66945568831419</v>
      </c>
      <c r="L179" s="357">
        <f t="shared" ca="1" si="58"/>
        <v>111.96637881334193</v>
      </c>
      <c r="M179" s="359">
        <f t="shared" ca="1" si="74"/>
        <v>1.3550257023285008</v>
      </c>
      <c r="N179" s="357">
        <f t="shared" ca="1" si="75"/>
        <v>77.6372538751733</v>
      </c>
      <c r="O179" s="343"/>
      <c r="P179" s="363">
        <f t="shared" ca="1" si="76"/>
        <v>7</v>
      </c>
      <c r="Q179" s="357">
        <f t="shared" ca="1" si="77"/>
        <v>939.82207792207771</v>
      </c>
      <c r="R179" s="359">
        <f t="shared" ca="1" si="78"/>
        <v>0.47078719831850757</v>
      </c>
      <c r="S179" s="360">
        <f t="shared" ca="1" si="79"/>
        <v>11.628065228248255</v>
      </c>
      <c r="T179" s="357">
        <f t="shared" ca="1" si="59"/>
        <v>114.07131988911539</v>
      </c>
      <c r="U179" s="364">
        <f t="shared" ca="1" si="60"/>
        <v>0</v>
      </c>
      <c r="V179" s="359">
        <f t="shared" ca="1" si="61"/>
        <v>1.211638757686772</v>
      </c>
      <c r="W179" s="357">
        <f t="shared" ca="1" si="62"/>
        <v>44.66550311090262</v>
      </c>
      <c r="X179" s="343"/>
      <c r="Y179" s="367" t="str">
        <f t="shared" ca="1" si="80"/>
        <v/>
      </c>
      <c r="Z179" s="368" t="str">
        <f t="shared" ca="1" si="81"/>
        <v/>
      </c>
      <c r="AA179" s="369" t="str">
        <f t="shared" ca="1" si="82"/>
        <v/>
      </c>
      <c r="AB179" s="344"/>
      <c r="AC179" s="363" t="e">
        <f t="shared" ca="1" si="83"/>
        <v>#N/A</v>
      </c>
      <c r="AD179" s="376" t="e">
        <f t="shared" ca="1" si="84"/>
        <v>#N/A</v>
      </c>
      <c r="AE179" s="377">
        <f t="shared" ca="1" si="63"/>
        <v>109.66945568831419</v>
      </c>
      <c r="AF179" s="344"/>
      <c r="AG179" s="359">
        <f t="shared" ca="1" si="85"/>
        <v>67.43974623929509</v>
      </c>
      <c r="AH179" s="357">
        <f t="shared" ca="1" si="86"/>
        <v>77.022615753510294</v>
      </c>
    </row>
    <row r="180" spans="1:34" x14ac:dyDescent="0.25">
      <c r="A180" s="402">
        <f t="shared" ca="1" si="64"/>
        <v>0.01</v>
      </c>
      <c r="B180" s="357">
        <f t="shared" ca="1" si="65"/>
        <v>1.7600000000000013</v>
      </c>
      <c r="C180" s="342"/>
      <c r="D180" s="359">
        <f t="shared" ca="1" si="66"/>
        <v>16.465417272431107</v>
      </c>
      <c r="E180" s="360">
        <f t="shared" ca="1" si="67"/>
        <v>65.3118757068045</v>
      </c>
      <c r="F180" s="357">
        <f t="shared" ca="1" si="68"/>
        <v>67.355408649167529</v>
      </c>
      <c r="G180" s="359">
        <f t="shared" ca="1" si="69"/>
        <v>27.367643627068059</v>
      </c>
      <c r="H180" s="360">
        <f t="shared" ca="1" si="70"/>
        <v>124.76413026871238</v>
      </c>
      <c r="I180" s="357">
        <f t="shared" ca="1" si="71"/>
        <v>127.73048234233845</v>
      </c>
      <c r="J180" s="359">
        <f t="shared" ca="1" si="72"/>
        <v>22.83566490511885</v>
      </c>
      <c r="K180" s="360">
        <f t="shared" ca="1" si="73"/>
        <v>110.91383139721597</v>
      </c>
      <c r="L180" s="357">
        <f t="shared" ca="1" si="58"/>
        <v>113.24021188106691</v>
      </c>
      <c r="M180" s="359">
        <f t="shared" ca="1" si="74"/>
        <v>1.3548612683271606</v>
      </c>
      <c r="N180" s="357">
        <f t="shared" ca="1" si="75"/>
        <v>77.627832500888061</v>
      </c>
      <c r="O180" s="343"/>
      <c r="P180" s="363">
        <f t="shared" ca="1" si="76"/>
        <v>7</v>
      </c>
      <c r="Q180" s="357">
        <f t="shared" ca="1" si="77"/>
        <v>938.56233766233743</v>
      </c>
      <c r="R180" s="359">
        <f t="shared" ca="1" si="78"/>
        <v>0.4701561537820742</v>
      </c>
      <c r="S180" s="360">
        <f t="shared" ca="1" si="79"/>
        <v>11.623363666710434</v>
      </c>
      <c r="T180" s="357">
        <f t="shared" ca="1" si="59"/>
        <v>114.02519757042936</v>
      </c>
      <c r="U180" s="364">
        <f t="shared" ca="1" si="60"/>
        <v>0</v>
      </c>
      <c r="V180" s="359">
        <f t="shared" ca="1" si="61"/>
        <v>1.211487989098788</v>
      </c>
      <c r="W180" s="357">
        <f t="shared" ca="1" si="62"/>
        <v>45.134471334711009</v>
      </c>
      <c r="X180" s="343"/>
      <c r="Y180" s="367" t="str">
        <f t="shared" ca="1" si="80"/>
        <v/>
      </c>
      <c r="Z180" s="368" t="str">
        <f t="shared" ca="1" si="81"/>
        <v/>
      </c>
      <c r="AA180" s="369" t="str">
        <f t="shared" ca="1" si="82"/>
        <v/>
      </c>
      <c r="AB180" s="344"/>
      <c r="AC180" s="363" t="e">
        <f t="shared" ca="1" si="83"/>
        <v>#N/A</v>
      </c>
      <c r="AD180" s="376" t="e">
        <f t="shared" ca="1" si="84"/>
        <v>#N/A</v>
      </c>
      <c r="AE180" s="377">
        <f t="shared" ca="1" si="63"/>
        <v>110.91383139721597</v>
      </c>
      <c r="AF180" s="344"/>
      <c r="AG180" s="359">
        <f t="shared" ca="1" si="85"/>
        <v>67.322653808532692</v>
      </c>
      <c r="AH180" s="357">
        <f t="shared" ca="1" si="86"/>
        <v>76.905176520594878</v>
      </c>
    </row>
    <row r="181" spans="1:34" x14ac:dyDescent="0.25">
      <c r="A181" s="402">
        <f t="shared" ca="1" si="64"/>
        <v>0.01</v>
      </c>
      <c r="B181" s="357">
        <f t="shared" ca="1" si="65"/>
        <v>1.7700000000000014</v>
      </c>
      <c r="C181" s="342"/>
      <c r="D181" s="359">
        <f t="shared" ca="1" si="66"/>
        <v>16.45254925380236</v>
      </c>
      <c r="E181" s="360">
        <f t="shared" ca="1" si="67"/>
        <v>65.194192042444854</v>
      </c>
      <c r="F181" s="357">
        <f t="shared" ca="1" si="68"/>
        <v>67.238151766805515</v>
      </c>
      <c r="G181" s="359">
        <f t="shared" ca="1" si="69"/>
        <v>27.532169119606081</v>
      </c>
      <c r="H181" s="360">
        <f t="shared" ca="1" si="70"/>
        <v>125.41607218913683</v>
      </c>
      <c r="I181" s="357">
        <f t="shared" ca="1" si="71"/>
        <v>128.40253696785499</v>
      </c>
      <c r="J181" s="359">
        <f t="shared" ca="1" si="72"/>
        <v>23.11016396885222</v>
      </c>
      <c r="K181" s="360">
        <f t="shared" ca="1" si="73"/>
        <v>112.16473240950522</v>
      </c>
      <c r="L181" s="357">
        <f t="shared" ca="1" si="58"/>
        <v>114.52077049672319</v>
      </c>
      <c r="M181" s="359">
        <f t="shared" ca="1" si="74"/>
        <v>1.3546975722550909</v>
      </c>
      <c r="N181" s="357">
        <f t="shared" ca="1" si="75"/>
        <v>77.618453406835599</v>
      </c>
      <c r="O181" s="343"/>
      <c r="P181" s="363">
        <f t="shared" ca="1" si="76"/>
        <v>7</v>
      </c>
      <c r="Q181" s="357">
        <f t="shared" ca="1" si="77"/>
        <v>937.30259740259714</v>
      </c>
      <c r="R181" s="359">
        <f t="shared" ca="1" si="78"/>
        <v>0.46952510924564089</v>
      </c>
      <c r="S181" s="360">
        <f t="shared" ca="1" si="79"/>
        <v>11.618668415617977</v>
      </c>
      <c r="T181" s="357">
        <f t="shared" ca="1" si="59"/>
        <v>113.97913715721236</v>
      </c>
      <c r="U181" s="364">
        <f t="shared" ca="1" si="60"/>
        <v>0</v>
      </c>
      <c r="V181" s="359">
        <f t="shared" ca="1" si="61"/>
        <v>1.2113364487085538</v>
      </c>
      <c r="W181" s="357">
        <f t="shared" ca="1" si="62"/>
        <v>45.604966079383736</v>
      </c>
      <c r="X181" s="343"/>
      <c r="Y181" s="367" t="str">
        <f t="shared" ca="1" si="80"/>
        <v/>
      </c>
      <c r="Z181" s="368" t="str">
        <f t="shared" ca="1" si="81"/>
        <v/>
      </c>
      <c r="AA181" s="369" t="str">
        <f t="shared" ca="1" si="82"/>
        <v/>
      </c>
      <c r="AB181" s="344"/>
      <c r="AC181" s="363" t="e">
        <f t="shared" ca="1" si="83"/>
        <v>#N/A</v>
      </c>
      <c r="AD181" s="376" t="e">
        <f t="shared" ca="1" si="84"/>
        <v>#N/A</v>
      </c>
      <c r="AE181" s="377">
        <f t="shared" ca="1" si="63"/>
        <v>112.16473240950522</v>
      </c>
      <c r="AF181" s="344"/>
      <c r="AG181" s="359">
        <f t="shared" ca="1" si="85"/>
        <v>67.205290515344132</v>
      </c>
      <c r="AH181" s="357">
        <f t="shared" ca="1" si="86"/>
        <v>76.787467733274937</v>
      </c>
    </row>
    <row r="182" spans="1:34" x14ac:dyDescent="0.25">
      <c r="A182" s="402">
        <f t="shared" ca="1" si="64"/>
        <v>0.01</v>
      </c>
      <c r="B182" s="357">
        <f t="shared" ca="1" si="65"/>
        <v>1.7800000000000014</v>
      </c>
      <c r="C182" s="342"/>
      <c r="D182" s="359">
        <f t="shared" ca="1" si="66"/>
        <v>16.439530194987601</v>
      </c>
      <c r="E182" s="360">
        <f t="shared" ca="1" si="67"/>
        <v>65.076264744822907</v>
      </c>
      <c r="F182" s="357">
        <f t="shared" ca="1" si="68"/>
        <v>67.120625638995577</v>
      </c>
      <c r="G182" s="359">
        <f t="shared" ca="1" si="69"/>
        <v>27.696564421555959</v>
      </c>
      <c r="H182" s="360">
        <f t="shared" ca="1" si="70"/>
        <v>126.06683483658506</v>
      </c>
      <c r="I182" s="357">
        <f t="shared" ca="1" si="71"/>
        <v>129.07341525841878</v>
      </c>
      <c r="J182" s="359">
        <f t="shared" ca="1" si="72"/>
        <v>23.38630763655803</v>
      </c>
      <c r="K182" s="360">
        <f t="shared" ca="1" si="73"/>
        <v>113.42214694463382</v>
      </c>
      <c r="L182" s="357">
        <f t="shared" ca="1" si="58"/>
        <v>115.80804290895274</v>
      </c>
      <c r="M182" s="359">
        <f t="shared" ca="1" si="74"/>
        <v>1.3545346054949061</v>
      </c>
      <c r="N182" s="357">
        <f t="shared" ca="1" si="75"/>
        <v>77.609116099276093</v>
      </c>
      <c r="O182" s="343"/>
      <c r="P182" s="363">
        <f t="shared" ca="1" si="76"/>
        <v>7</v>
      </c>
      <c r="Q182" s="357">
        <f t="shared" ca="1" si="77"/>
        <v>936.04285714285697</v>
      </c>
      <c r="R182" s="359">
        <f t="shared" ca="1" si="78"/>
        <v>0.46889406470920758</v>
      </c>
      <c r="S182" s="360">
        <f t="shared" ca="1" si="79"/>
        <v>11.613979474970884</v>
      </c>
      <c r="T182" s="357">
        <f t="shared" ca="1" si="59"/>
        <v>113.93313864946438</v>
      </c>
      <c r="U182" s="364">
        <f t="shared" ca="1" si="60"/>
        <v>0</v>
      </c>
      <c r="V182" s="359">
        <f t="shared" ca="1" si="61"/>
        <v>1.2111841382344493</v>
      </c>
      <c r="W182" s="357">
        <f t="shared" ca="1" si="62"/>
        <v>46.076970858665</v>
      </c>
      <c r="X182" s="343"/>
      <c r="Y182" s="367" t="str">
        <f t="shared" ca="1" si="80"/>
        <v/>
      </c>
      <c r="Z182" s="368" t="str">
        <f t="shared" ca="1" si="81"/>
        <v/>
      </c>
      <c r="AA182" s="369" t="str">
        <f t="shared" ca="1" si="82"/>
        <v/>
      </c>
      <c r="AB182" s="344"/>
      <c r="AC182" s="363" t="e">
        <f t="shared" ca="1" si="83"/>
        <v>#N/A</v>
      </c>
      <c r="AD182" s="376" t="e">
        <f t="shared" ca="1" si="84"/>
        <v>#N/A</v>
      </c>
      <c r="AE182" s="377">
        <f t="shared" ca="1" si="63"/>
        <v>113.42214694463382</v>
      </c>
      <c r="AF182" s="344"/>
      <c r="AG182" s="359">
        <f t="shared" ca="1" si="85"/>
        <v>67.087657658725931</v>
      </c>
      <c r="AH182" s="357">
        <f t="shared" ca="1" si="86"/>
        <v>76.669490675650209</v>
      </c>
    </row>
    <row r="183" spans="1:34" x14ac:dyDescent="0.25">
      <c r="A183" s="402">
        <f t="shared" ca="1" si="64"/>
        <v>0.01</v>
      </c>
      <c r="B183" s="357">
        <f t="shared" ca="1" si="65"/>
        <v>1.7900000000000014</v>
      </c>
      <c r="C183" s="342"/>
      <c r="D183" s="359">
        <f t="shared" ca="1" si="66"/>
        <v>16.426361150633799</v>
      </c>
      <c r="E183" s="360">
        <f t="shared" ca="1" si="67"/>
        <v>64.958094938567584</v>
      </c>
      <c r="F183" s="357">
        <f t="shared" ca="1" si="68"/>
        <v>67.002831572247828</v>
      </c>
      <c r="G183" s="359">
        <f t="shared" ca="1" si="69"/>
        <v>27.860828033062297</v>
      </c>
      <c r="H183" s="360">
        <f t="shared" ca="1" si="70"/>
        <v>126.71641578597074</v>
      </c>
      <c r="I183" s="357">
        <f t="shared" ca="1" si="71"/>
        <v>129.74311453148829</v>
      </c>
      <c r="J183" s="359">
        <f t="shared" ca="1" si="72"/>
        <v>23.66409459883112</v>
      </c>
      <c r="K183" s="360">
        <f t="shared" ca="1" si="73"/>
        <v>114.68606319774661</v>
      </c>
      <c r="L183" s="357">
        <f t="shared" ca="1" si="58"/>
        <v>117.10201733949744</v>
      </c>
      <c r="M183" s="359">
        <f t="shared" ca="1" si="74"/>
        <v>1.3543723595729595</v>
      </c>
      <c r="N183" s="357">
        <f t="shared" ca="1" si="75"/>
        <v>77.599820092705343</v>
      </c>
      <c r="O183" s="343"/>
      <c r="P183" s="363">
        <f t="shared" ca="1" si="76"/>
        <v>7</v>
      </c>
      <c r="Q183" s="357">
        <f t="shared" ca="1" si="77"/>
        <v>934.78311688311669</v>
      </c>
      <c r="R183" s="359">
        <f t="shared" ca="1" si="78"/>
        <v>0.46826302017277427</v>
      </c>
      <c r="S183" s="360">
        <f t="shared" ca="1" si="79"/>
        <v>11.609296844769156</v>
      </c>
      <c r="T183" s="357">
        <f t="shared" ca="1" si="59"/>
        <v>113.88720204718543</v>
      </c>
      <c r="U183" s="364">
        <f t="shared" ca="1" si="60"/>
        <v>0</v>
      </c>
      <c r="V183" s="359">
        <f t="shared" ca="1" si="61"/>
        <v>1.2110310593985076</v>
      </c>
      <c r="W183" s="357">
        <f t="shared" ca="1" si="62"/>
        <v>46.550469182612026</v>
      </c>
      <c r="X183" s="343"/>
      <c r="Y183" s="367" t="str">
        <f t="shared" ca="1" si="80"/>
        <v/>
      </c>
      <c r="Z183" s="368" t="str">
        <f t="shared" ca="1" si="81"/>
        <v/>
      </c>
      <c r="AA183" s="369" t="str">
        <f t="shared" ca="1" si="82"/>
        <v/>
      </c>
      <c r="AB183" s="344"/>
      <c r="AC183" s="363" t="e">
        <f t="shared" ca="1" si="83"/>
        <v>#N/A</v>
      </c>
      <c r="AD183" s="376" t="e">
        <f t="shared" ca="1" si="84"/>
        <v>#N/A</v>
      </c>
      <c r="AE183" s="377">
        <f t="shared" ca="1" si="63"/>
        <v>114.68606319774661</v>
      </c>
      <c r="AF183" s="344"/>
      <c r="AG183" s="359">
        <f t="shared" ca="1" si="85"/>
        <v>66.969756540753508</v>
      </c>
      <c r="AH183" s="357">
        <f t="shared" ca="1" si="86"/>
        <v>76.551246635137872</v>
      </c>
    </row>
    <row r="184" spans="1:34" x14ac:dyDescent="0.25">
      <c r="A184" s="402">
        <f t="shared" ca="1" si="64"/>
        <v>0.01</v>
      </c>
      <c r="B184" s="357">
        <f t="shared" ca="1" si="65"/>
        <v>1.8000000000000014</v>
      </c>
      <c r="C184" s="342"/>
      <c r="D184" s="359">
        <f t="shared" ca="1" si="66"/>
        <v>16.413043163210734</v>
      </c>
      <c r="E184" s="360">
        <f t="shared" ca="1" si="67"/>
        <v>64.839683753634503</v>
      </c>
      <c r="F184" s="357">
        <f t="shared" ca="1" si="68"/>
        <v>66.884770876102678</v>
      </c>
      <c r="G184" s="359">
        <f t="shared" ca="1" si="69"/>
        <v>28.024958464694404</v>
      </c>
      <c r="H184" s="360">
        <f t="shared" ca="1" si="70"/>
        <v>127.36481262350708</v>
      </c>
      <c r="I184" s="357">
        <f t="shared" ca="1" si="71"/>
        <v>130.41163211757191</v>
      </c>
      <c r="J184" s="359">
        <f t="shared" ca="1" si="72"/>
        <v>23.943523531319904</v>
      </c>
      <c r="K184" s="360">
        <f t="shared" ca="1" si="73"/>
        <v>115.956469339794</v>
      </c>
      <c r="L184" s="357">
        <f t="shared" ca="1" si="58"/>
        <v>118.40268198332947</v>
      </c>
      <c r="M184" s="359">
        <f t="shared" ca="1" si="74"/>
        <v>1.3542108261561134</v>
      </c>
      <c r="N184" s="357">
        <f t="shared" ca="1" si="75"/>
        <v>77.590564909669737</v>
      </c>
      <c r="O184" s="343"/>
      <c r="P184" s="363">
        <f t="shared" ca="1" si="76"/>
        <v>7</v>
      </c>
      <c r="Q184" s="357">
        <f t="shared" ca="1" si="77"/>
        <v>933.52337662337641</v>
      </c>
      <c r="R184" s="359">
        <f t="shared" ca="1" si="78"/>
        <v>0.4676319756363409</v>
      </c>
      <c r="S184" s="360">
        <f t="shared" ca="1" si="79"/>
        <v>11.604620525012793</v>
      </c>
      <c r="T184" s="357">
        <f t="shared" ca="1" si="59"/>
        <v>113.84132735037551</v>
      </c>
      <c r="U184" s="364">
        <f t="shared" ca="1" si="60"/>
        <v>0</v>
      </c>
      <c r="V184" s="359">
        <f t="shared" ca="1" si="61"/>
        <v>1.2108772139263919</v>
      </c>
      <c r="W184" s="357">
        <f t="shared" ca="1" si="62"/>
        <v>47.025444558163194</v>
      </c>
      <c r="X184" s="343"/>
      <c r="Y184" s="367" t="str">
        <f t="shared" ca="1" si="80"/>
        <v/>
      </c>
      <c r="Z184" s="368" t="str">
        <f t="shared" ca="1" si="81"/>
        <v/>
      </c>
      <c r="AA184" s="369" t="str">
        <f t="shared" ca="1" si="82"/>
        <v/>
      </c>
      <c r="AB184" s="344"/>
      <c r="AC184" s="363" t="e">
        <f t="shared" ca="1" si="83"/>
        <v>#N/A</v>
      </c>
      <c r="AD184" s="376" t="e">
        <f t="shared" ca="1" si="84"/>
        <v>#N/A</v>
      </c>
      <c r="AE184" s="377">
        <f t="shared" ca="1" si="63"/>
        <v>115.956469339794</v>
      </c>
      <c r="AF184" s="344"/>
      <c r="AG184" s="359">
        <f t="shared" ca="1" si="85"/>
        <v>66.851588466537123</v>
      </c>
      <c r="AH184" s="357">
        <f t="shared" ca="1" si="86"/>
        <v>76.432736902423315</v>
      </c>
    </row>
    <row r="185" spans="1:34" x14ac:dyDescent="0.25">
      <c r="A185" s="402">
        <f t="shared" ca="1" si="64"/>
        <v>0.01</v>
      </c>
      <c r="B185" s="357">
        <f t="shared" ca="1" si="65"/>
        <v>1.8100000000000014</v>
      </c>
      <c r="C185" s="342"/>
      <c r="D185" s="359">
        <f t="shared" ca="1" si="66"/>
        <v>16.399577263298795</v>
      </c>
      <c r="E185" s="360">
        <f t="shared" ca="1" si="67"/>
        <v>64.721032325209023</v>
      </c>
      <c r="F185" s="357">
        <f t="shared" ca="1" si="68"/>
        <v>66.766444863087159</v>
      </c>
      <c r="G185" s="359">
        <f t="shared" ca="1" si="69"/>
        <v>28.18895423732739</v>
      </c>
      <c r="H185" s="360">
        <f t="shared" ca="1" si="70"/>
        <v>128.01202294675917</v>
      </c>
      <c r="I185" s="357">
        <f t="shared" ca="1" si="71"/>
        <v>131.07896536025808</v>
      </c>
      <c r="J185" s="359">
        <f t="shared" ca="1" si="72"/>
        <v>24.224593094830013</v>
      </c>
      <c r="K185" s="360">
        <f t="shared" ca="1" si="73"/>
        <v>117.23335351764533</v>
      </c>
      <c r="L185" s="357">
        <f t="shared" ca="1" si="58"/>
        <v>119.71002500878232</v>
      </c>
      <c r="M185" s="359">
        <f t="shared" ca="1" si="74"/>
        <v>1.3540499970485955</v>
      </c>
      <c r="N185" s="357">
        <f t="shared" ca="1" si="75"/>
        <v>77.581350080586105</v>
      </c>
      <c r="O185" s="343"/>
      <c r="P185" s="363">
        <f t="shared" ca="1" si="76"/>
        <v>7</v>
      </c>
      <c r="Q185" s="357">
        <f t="shared" ca="1" si="77"/>
        <v>932.26363636363612</v>
      </c>
      <c r="R185" s="359">
        <f t="shared" ca="1" si="78"/>
        <v>0.46700093109990753</v>
      </c>
      <c r="S185" s="360">
        <f t="shared" ca="1" si="79"/>
        <v>11.599950515701794</v>
      </c>
      <c r="T185" s="357">
        <f t="shared" ca="1" si="59"/>
        <v>113.7955145590346</v>
      </c>
      <c r="U185" s="364">
        <f t="shared" ca="1" si="60"/>
        <v>0</v>
      </c>
      <c r="V185" s="359">
        <f t="shared" ca="1" si="61"/>
        <v>1.2107226035473708</v>
      </c>
      <c r="W185" s="357">
        <f t="shared" ca="1" si="62"/>
        <v>47.501880489705158</v>
      </c>
      <c r="X185" s="343"/>
      <c r="Y185" s="367" t="str">
        <f t="shared" ca="1" si="80"/>
        <v/>
      </c>
      <c r="Z185" s="368" t="str">
        <f t="shared" ca="1" si="81"/>
        <v/>
      </c>
      <c r="AA185" s="369" t="str">
        <f t="shared" ca="1" si="82"/>
        <v/>
      </c>
      <c r="AB185" s="344"/>
      <c r="AC185" s="363" t="e">
        <f t="shared" ca="1" si="83"/>
        <v>#N/A</v>
      </c>
      <c r="AD185" s="376" t="e">
        <f t="shared" ca="1" si="84"/>
        <v>#N/A</v>
      </c>
      <c r="AE185" s="377">
        <f t="shared" ca="1" si="63"/>
        <v>117.23335351764533</v>
      </c>
      <c r="AF185" s="344"/>
      <c r="AG185" s="359">
        <f t="shared" ca="1" si="85"/>
        <v>66.733154744177583</v>
      </c>
      <c r="AH185" s="357">
        <f t="shared" ca="1" si="86"/>
        <v>76.313962771410701</v>
      </c>
    </row>
    <row r="186" spans="1:34" x14ac:dyDescent="0.25">
      <c r="A186" s="402">
        <f t="shared" ca="1" si="64"/>
        <v>0.01</v>
      </c>
      <c r="B186" s="357">
        <f t="shared" ca="1" si="65"/>
        <v>1.8200000000000014</v>
      </c>
      <c r="C186" s="342"/>
      <c r="D186" s="359">
        <f t="shared" ca="1" si="66"/>
        <v>16.385964469868629</v>
      </c>
      <c r="E186" s="360">
        <f t="shared" ca="1" si="67"/>
        <v>64.602141793610471</v>
      </c>
      <c r="F186" s="357">
        <f t="shared" ca="1" si="68"/>
        <v>66.647854848671244</v>
      </c>
      <c r="G186" s="359">
        <f t="shared" ca="1" si="69"/>
        <v>28.352813882026076</v>
      </c>
      <c r="H186" s="360">
        <f t="shared" ca="1" si="70"/>
        <v>128.65804436469529</v>
      </c>
      <c r="I186" s="357">
        <f t="shared" ca="1" si="71"/>
        <v>131.74511161624446</v>
      </c>
      <c r="J186" s="359">
        <f t="shared" ca="1" si="72"/>
        <v>24.507301935426781</v>
      </c>
      <c r="K186" s="360">
        <f t="shared" ca="1" si="73"/>
        <v>118.5167038542026</v>
      </c>
      <c r="L186" s="357">
        <f t="shared" ca="1" si="58"/>
        <v>121.0240345576817</v>
      </c>
      <c r="M186" s="359">
        <f t="shared" ca="1" si="74"/>
        <v>1.353889864188947</v>
      </c>
      <c r="N186" s="357">
        <f t="shared" ca="1" si="75"/>
        <v>77.572175143566881</v>
      </c>
      <c r="O186" s="343"/>
      <c r="P186" s="363">
        <f t="shared" ca="1" si="76"/>
        <v>7</v>
      </c>
      <c r="Q186" s="357">
        <f t="shared" ca="1" si="77"/>
        <v>931.00389610389584</v>
      </c>
      <c r="R186" s="359">
        <f t="shared" ca="1" si="78"/>
        <v>0.46636988656347422</v>
      </c>
      <c r="S186" s="360">
        <f t="shared" ca="1" si="79"/>
        <v>11.595286816836159</v>
      </c>
      <c r="T186" s="357">
        <f t="shared" ca="1" si="59"/>
        <v>113.74976367316273</v>
      </c>
      <c r="U186" s="364">
        <f t="shared" ca="1" si="60"/>
        <v>0</v>
      </c>
      <c r="V186" s="359">
        <f t="shared" ca="1" si="61"/>
        <v>1.2105672299942885</v>
      </c>
      <c r="W186" s="357">
        <f t="shared" ca="1" si="62"/>
        <v>47.979760479638053</v>
      </c>
      <c r="X186" s="343"/>
      <c r="Y186" s="367" t="str">
        <f t="shared" ca="1" si="80"/>
        <v/>
      </c>
      <c r="Z186" s="368" t="str">
        <f t="shared" ca="1" si="81"/>
        <v/>
      </c>
      <c r="AA186" s="369" t="str">
        <f t="shared" ca="1" si="82"/>
        <v/>
      </c>
      <c r="AB186" s="344"/>
      <c r="AC186" s="363" t="e">
        <f t="shared" ca="1" si="83"/>
        <v>#N/A</v>
      </c>
      <c r="AD186" s="376" t="e">
        <f t="shared" ca="1" si="84"/>
        <v>#N/A</v>
      </c>
      <c r="AE186" s="377">
        <f t="shared" ca="1" si="63"/>
        <v>118.5167038542026</v>
      </c>
      <c r="AF186" s="344"/>
      <c r="AG186" s="359">
        <f t="shared" ca="1" si="85"/>
        <v>66.614456684721745</v>
      </c>
      <c r="AH186" s="357">
        <f t="shared" ca="1" si="86"/>
        <v>76.194925539173454</v>
      </c>
    </row>
    <row r="187" spans="1:34" x14ac:dyDescent="0.25">
      <c r="A187" s="402">
        <f t="shared" ca="1" si="64"/>
        <v>0.01</v>
      </c>
      <c r="B187" s="357">
        <f t="shared" ca="1" si="65"/>
        <v>1.8300000000000014</v>
      </c>
      <c r="C187" s="342"/>
      <c r="D187" s="359">
        <f t="shared" ca="1" si="66"/>
        <v>16.37220579055241</v>
      </c>
      <c r="E187" s="360">
        <f t="shared" ca="1" si="67"/>
        <v>64.483013304198039</v>
      </c>
      <c r="F187" s="357">
        <f t="shared" ca="1" si="68"/>
        <v>66.529002151224077</v>
      </c>
      <c r="G187" s="359">
        <f t="shared" ca="1" si="69"/>
        <v>28.5165359399316</v>
      </c>
      <c r="H187" s="360">
        <f t="shared" ca="1" si="70"/>
        <v>129.30287449773726</v>
      </c>
      <c r="I187" s="357">
        <f t="shared" ca="1" si="71"/>
        <v>132.41006825536721</v>
      </c>
      <c r="J187" s="359">
        <f t="shared" ca="1" si="72"/>
        <v>24.791648684536568</v>
      </c>
      <c r="K187" s="360">
        <f t="shared" ca="1" si="73"/>
        <v>119.80650844851476</v>
      </c>
      <c r="L187" s="357">
        <f t="shared" ca="1" si="58"/>
        <v>122.344698745477</v>
      </c>
      <c r="M187" s="359">
        <f t="shared" ca="1" si="74"/>
        <v>1.3537304196470512</v>
      </c>
      <c r="N187" s="357">
        <f t="shared" ca="1" si="75"/>
        <v>77.563039644249855</v>
      </c>
      <c r="O187" s="343"/>
      <c r="P187" s="363">
        <f t="shared" ca="1" si="76"/>
        <v>7</v>
      </c>
      <c r="Q187" s="357">
        <f t="shared" ca="1" si="77"/>
        <v>929.74415584415556</v>
      </c>
      <c r="R187" s="359">
        <f t="shared" ca="1" si="78"/>
        <v>0.46573884202704086</v>
      </c>
      <c r="S187" s="360">
        <f t="shared" ca="1" si="79"/>
        <v>11.590629428415889</v>
      </c>
      <c r="T187" s="357">
        <f t="shared" ca="1" si="59"/>
        <v>113.70407469275987</v>
      </c>
      <c r="U187" s="364">
        <f t="shared" ca="1" si="60"/>
        <v>0</v>
      </c>
      <c r="V187" s="359">
        <f t="shared" ca="1" si="61"/>
        <v>1.2104110950035427</v>
      </c>
      <c r="W187" s="357">
        <f t="shared" ca="1" si="62"/>
        <v>48.45906802894018</v>
      </c>
      <c r="X187" s="343"/>
      <c r="Y187" s="367" t="str">
        <f t="shared" ca="1" si="80"/>
        <v/>
      </c>
      <c r="Z187" s="368" t="str">
        <f t="shared" ca="1" si="81"/>
        <v/>
      </c>
      <c r="AA187" s="369" t="str">
        <f t="shared" ca="1" si="82"/>
        <v/>
      </c>
      <c r="AB187" s="344"/>
      <c r="AC187" s="363" t="e">
        <f t="shared" ca="1" si="83"/>
        <v>#N/A</v>
      </c>
      <c r="AD187" s="376" t="e">
        <f t="shared" ca="1" si="84"/>
        <v>#N/A</v>
      </c>
      <c r="AE187" s="377">
        <f t="shared" ca="1" si="63"/>
        <v>119.80650844851476</v>
      </c>
      <c r="AF187" s="344"/>
      <c r="AG187" s="359">
        <f t="shared" ca="1" si="85"/>
        <v>66.49549560211787</v>
      </c>
      <c r="AH187" s="357">
        <f t="shared" ca="1" si="86"/>
        <v>76.075626505904935</v>
      </c>
    </row>
    <row r="188" spans="1:34" x14ac:dyDescent="0.25">
      <c r="A188" s="402">
        <f t="shared" ca="1" si="64"/>
        <v>0.01</v>
      </c>
      <c r="B188" s="357">
        <f t="shared" ca="1" si="65"/>
        <v>1.8400000000000014</v>
      </c>
      <c r="C188" s="342"/>
      <c r="D188" s="359">
        <f t="shared" ca="1" si="66"/>
        <v>16.358302221907511</v>
      </c>
      <c r="E188" s="360">
        <f t="shared" ca="1" si="67"/>
        <v>64.363648007277433</v>
      </c>
      <c r="F188" s="357">
        <f t="shared" ca="1" si="68"/>
        <v>66.409888091969961</v>
      </c>
      <c r="G188" s="359">
        <f t="shared" ca="1" si="69"/>
        <v>28.680118962150676</v>
      </c>
      <c r="H188" s="360">
        <f t="shared" ca="1" si="70"/>
        <v>129.94651097781005</v>
      </c>
      <c r="I188" s="357">
        <f t="shared" ca="1" si="71"/>
        <v>133.07383266062951</v>
      </c>
      <c r="J188" s="359">
        <f t="shared" ca="1" si="72"/>
        <v>25.077631959046979</v>
      </c>
      <c r="K188" s="360">
        <f t="shared" ca="1" si="73"/>
        <v>121.1027553758925</v>
      </c>
      <c r="L188" s="357">
        <f t="shared" ca="1" si="58"/>
        <v>123.67200566137299</v>
      </c>
      <c r="M188" s="359">
        <f t="shared" ca="1" si="74"/>
        <v>1.3535716556212496</v>
      </c>
      <c r="N188" s="357">
        <f t="shared" ca="1" si="75"/>
        <v>77.55394313563292</v>
      </c>
      <c r="O188" s="343"/>
      <c r="P188" s="363">
        <f t="shared" ca="1" si="76"/>
        <v>7</v>
      </c>
      <c r="Q188" s="357">
        <f t="shared" ca="1" si="77"/>
        <v>928.48441558441539</v>
      </c>
      <c r="R188" s="359">
        <f t="shared" ca="1" si="78"/>
        <v>0.4651077974906076</v>
      </c>
      <c r="S188" s="360">
        <f t="shared" ca="1" si="79"/>
        <v>11.585978350440984</v>
      </c>
      <c r="T188" s="357">
        <f t="shared" ca="1" si="59"/>
        <v>113.65844761782606</v>
      </c>
      <c r="U188" s="364">
        <f t="shared" ca="1" si="60"/>
        <v>0</v>
      </c>
      <c r="V188" s="359">
        <f t="shared" ca="1" si="61"/>
        <v>1.2102542003150565</v>
      </c>
      <c r="W188" s="357">
        <f t="shared" ca="1" si="62"/>
        <v>48.939786637730947</v>
      </c>
      <c r="X188" s="343"/>
      <c r="Y188" s="367" t="str">
        <f t="shared" ca="1" si="80"/>
        <v/>
      </c>
      <c r="Z188" s="368" t="str">
        <f t="shared" ca="1" si="81"/>
        <v/>
      </c>
      <c r="AA188" s="369" t="str">
        <f t="shared" ca="1" si="82"/>
        <v/>
      </c>
      <c r="AB188" s="344"/>
      <c r="AC188" s="363" t="e">
        <f t="shared" ca="1" si="83"/>
        <v>#N/A</v>
      </c>
      <c r="AD188" s="376" t="e">
        <f t="shared" ca="1" si="84"/>
        <v>#N/A</v>
      </c>
      <c r="AE188" s="377">
        <f t="shared" ca="1" si="63"/>
        <v>121.1027553758925</v>
      </c>
      <c r="AF188" s="344"/>
      <c r="AG188" s="359">
        <f t="shared" ca="1" si="85"/>
        <v>66.376272813170786</v>
      </c>
      <c r="AH188" s="357">
        <f t="shared" ca="1" si="86"/>
        <v>75.956066974868804</v>
      </c>
    </row>
    <row r="189" spans="1:34" x14ac:dyDescent="0.25">
      <c r="A189" s="402">
        <f t="shared" ca="1" si="64"/>
        <v>0.01</v>
      </c>
      <c r="B189" s="357">
        <f t="shared" ca="1" si="65"/>
        <v>1.8500000000000014</v>
      </c>
      <c r="C189" s="342"/>
      <c r="D189" s="359">
        <f t="shared" ca="1" si="66"/>
        <v>16.344254749672185</v>
      </c>
      <c r="E189" s="360">
        <f t="shared" ca="1" si="67"/>
        <v>64.244047058008903</v>
      </c>
      <c r="F189" s="357">
        <f t="shared" ca="1" si="68"/>
        <v>66.290513994943836</v>
      </c>
      <c r="G189" s="359">
        <f t="shared" ca="1" si="69"/>
        <v>28.843561509647397</v>
      </c>
      <c r="H189" s="360">
        <f t="shared" ca="1" si="70"/>
        <v>130.58895144839013</v>
      </c>
      <c r="I189" s="357">
        <f t="shared" ca="1" si="71"/>
        <v>133.73640222822957</v>
      </c>
      <c r="J189" s="359">
        <f t="shared" ca="1" si="72"/>
        <v>25.36525036140597</v>
      </c>
      <c r="K189" s="360">
        <f t="shared" ca="1" si="73"/>
        <v>122.4054326880235</v>
      </c>
      <c r="L189" s="357">
        <f t="shared" ca="1" si="58"/>
        <v>125.00594336846171</v>
      </c>
      <c r="M189" s="359">
        <f t="shared" ca="1" si="74"/>
        <v>1.3534135644355318</v>
      </c>
      <c r="N189" s="357">
        <f t="shared" ca="1" si="75"/>
        <v>77.544885177913073</v>
      </c>
      <c r="O189" s="343"/>
      <c r="P189" s="363">
        <f t="shared" ca="1" si="76"/>
        <v>7</v>
      </c>
      <c r="Q189" s="357">
        <f t="shared" ca="1" si="77"/>
        <v>927.2246753246751</v>
      </c>
      <c r="R189" s="359">
        <f t="shared" ca="1" si="78"/>
        <v>0.46447675295417423</v>
      </c>
      <c r="S189" s="360">
        <f t="shared" ca="1" si="79"/>
        <v>11.581333582911443</v>
      </c>
      <c r="T189" s="357">
        <f t="shared" ca="1" si="59"/>
        <v>113.61288244836126</v>
      </c>
      <c r="U189" s="364">
        <f t="shared" ca="1" si="60"/>
        <v>0</v>
      </c>
      <c r="V189" s="359">
        <f t="shared" ca="1" si="61"/>
        <v>1.2100965476722532</v>
      </c>
      <c r="W189" s="357">
        <f t="shared" ca="1" si="62"/>
        <v>49.421899805832524</v>
      </c>
      <c r="X189" s="343"/>
      <c r="Y189" s="367" t="str">
        <f t="shared" ca="1" si="80"/>
        <v/>
      </c>
      <c r="Z189" s="368" t="str">
        <f t="shared" ca="1" si="81"/>
        <v/>
      </c>
      <c r="AA189" s="369" t="str">
        <f t="shared" ca="1" si="82"/>
        <v/>
      </c>
      <c r="AB189" s="344"/>
      <c r="AC189" s="363" t="e">
        <f t="shared" ca="1" si="83"/>
        <v>#N/A</v>
      </c>
      <c r="AD189" s="376" t="e">
        <f t="shared" ca="1" si="84"/>
        <v>#N/A</v>
      </c>
      <c r="AE189" s="377">
        <f t="shared" ca="1" si="63"/>
        <v>122.4054326880235</v>
      </c>
      <c r="AF189" s="344"/>
      <c r="AG189" s="359">
        <f t="shared" ca="1" si="85"/>
        <v>66.256789637496908</v>
      </c>
      <c r="AH189" s="357">
        <f t="shared" ca="1" si="86"/>
        <v>75.836248252349478</v>
      </c>
    </row>
    <row r="190" spans="1:34" x14ac:dyDescent="0.25">
      <c r="A190" s="402">
        <f t="shared" ca="1" si="64"/>
        <v>0.01</v>
      </c>
      <c r="B190" s="357">
        <f t="shared" ca="1" si="65"/>
        <v>1.8600000000000014</v>
      </c>
      <c r="C190" s="342"/>
      <c r="D190" s="359">
        <f t="shared" ca="1" si="66"/>
        <v>16.330064349014293</v>
      </c>
      <c r="E190" s="360">
        <f t="shared" ca="1" si="67"/>
        <v>64.124211616316586</v>
      </c>
      <c r="F190" s="357">
        <f t="shared" ca="1" si="68"/>
        <v>66.170881186947312</v>
      </c>
      <c r="G190" s="359">
        <f t="shared" ca="1" si="69"/>
        <v>29.00686215313754</v>
      </c>
      <c r="H190" s="360">
        <f t="shared" ca="1" si="70"/>
        <v>131.2301935645533</v>
      </c>
      <c r="I190" s="357">
        <f t="shared" ca="1" si="71"/>
        <v>134.39777436758857</v>
      </c>
      <c r="J190" s="359">
        <f t="shared" ca="1" si="72"/>
        <v>25.654502479719895</v>
      </c>
      <c r="K190" s="360">
        <f t="shared" ca="1" si="73"/>
        <v>123.71452841308822</v>
      </c>
      <c r="L190" s="357">
        <f t="shared" ca="1" si="58"/>
        <v>126.34649990385473</v>
      </c>
      <c r="M190" s="359">
        <f t="shared" ca="1" si="74"/>
        <v>1.3532561385368054</v>
      </c>
      <c r="N190" s="357">
        <f t="shared" ca="1" si="75"/>
        <v>77.535865338329984</v>
      </c>
      <c r="O190" s="343"/>
      <c r="P190" s="363">
        <f t="shared" ca="1" si="76"/>
        <v>7</v>
      </c>
      <c r="Q190" s="357">
        <f t="shared" ca="1" si="77"/>
        <v>925.96493506493482</v>
      </c>
      <c r="R190" s="359">
        <f t="shared" ca="1" si="78"/>
        <v>0.46384570841774092</v>
      </c>
      <c r="S190" s="360">
        <f t="shared" ca="1" si="79"/>
        <v>11.576695125827266</v>
      </c>
      <c r="T190" s="357">
        <f t="shared" ca="1" si="59"/>
        <v>113.56737918436548</v>
      </c>
      <c r="U190" s="364">
        <f t="shared" ca="1" si="60"/>
        <v>0</v>
      </c>
      <c r="V190" s="359">
        <f t="shared" ca="1" si="61"/>
        <v>1.2099381388220294</v>
      </c>
      <c r="W190" s="357">
        <f t="shared" ca="1" si="62"/>
        <v>49.905391033330361</v>
      </c>
      <c r="X190" s="343"/>
      <c r="Y190" s="367" t="str">
        <f t="shared" ca="1" si="80"/>
        <v/>
      </c>
      <c r="Z190" s="368" t="str">
        <f t="shared" ca="1" si="81"/>
        <v/>
      </c>
      <c r="AA190" s="369" t="str">
        <f t="shared" ca="1" si="82"/>
        <v/>
      </c>
      <c r="AB190" s="344"/>
      <c r="AC190" s="363" t="e">
        <f t="shared" ca="1" si="83"/>
        <v>#N/A</v>
      </c>
      <c r="AD190" s="376" t="e">
        <f t="shared" ca="1" si="84"/>
        <v>#N/A</v>
      </c>
      <c r="AE190" s="377">
        <f t="shared" ca="1" si="63"/>
        <v>123.71452841308822</v>
      </c>
      <c r="AF190" s="344"/>
      <c r="AG190" s="359">
        <f t="shared" ca="1" si="85"/>
        <v>66.137047397479137</v>
      </c>
      <c r="AH190" s="357">
        <f t="shared" ca="1" si="86"/>
        <v>75.716171647602664</v>
      </c>
    </row>
    <row r="191" spans="1:34" x14ac:dyDescent="0.25">
      <c r="A191" s="402">
        <f t="shared" ca="1" si="64"/>
        <v>0.01</v>
      </c>
      <c r="B191" s="357">
        <f t="shared" ca="1" si="65"/>
        <v>1.8700000000000014</v>
      </c>
      <c r="C191" s="342"/>
      <c r="D191" s="359">
        <f t="shared" ca="1" si="66"/>
        <v>16.315731984772654</v>
      </c>
      <c r="E191" s="360">
        <f t="shared" ca="1" si="67"/>
        <v>64.004142846798587</v>
      </c>
      <c r="F191" s="357">
        <f t="shared" ca="1" si="68"/>
        <v>66.050990997503831</v>
      </c>
      <c r="G191" s="359">
        <f t="shared" ca="1" si="69"/>
        <v>29.170019472985267</v>
      </c>
      <c r="H191" s="360">
        <f t="shared" ca="1" si="70"/>
        <v>131.87023499302128</v>
      </c>
      <c r="I191" s="357">
        <f t="shared" ca="1" si="71"/>
        <v>135.05794650137767</v>
      </c>
      <c r="J191" s="359">
        <f t="shared" ca="1" si="72"/>
        <v>25.945386887850511</v>
      </c>
      <c r="K191" s="360">
        <f t="shared" ca="1" si="73"/>
        <v>125.0300305558761</v>
      </c>
      <c r="L191" s="357">
        <f t="shared" ca="1" si="58"/>
        <v>127.69366327881566</v>
      </c>
      <c r="M191" s="359">
        <f t="shared" ca="1" si="74"/>
        <v>1.3530993704922387</v>
      </c>
      <c r="N191" s="357">
        <f t="shared" ca="1" si="75"/>
        <v>77.526883191013795</v>
      </c>
      <c r="O191" s="343"/>
      <c r="P191" s="363">
        <f t="shared" ca="1" si="76"/>
        <v>7</v>
      </c>
      <c r="Q191" s="357">
        <f t="shared" ca="1" si="77"/>
        <v>924.70519480519454</v>
      </c>
      <c r="R191" s="359">
        <f t="shared" ca="1" si="78"/>
        <v>0.46321466388130755</v>
      </c>
      <c r="S191" s="360">
        <f t="shared" ca="1" si="79"/>
        <v>11.572062979188452</v>
      </c>
      <c r="T191" s="357">
        <f t="shared" ca="1" si="59"/>
        <v>113.52193782583872</v>
      </c>
      <c r="U191" s="364">
        <f t="shared" ca="1" si="60"/>
        <v>0</v>
      </c>
      <c r="V191" s="359">
        <f t="shared" ca="1" si="61"/>
        <v>1.2097789755147292</v>
      </c>
      <c r="W191" s="357">
        <f t="shared" ca="1" si="62"/>
        <v>50.390243821131996</v>
      </c>
      <c r="X191" s="343"/>
      <c r="Y191" s="367" t="str">
        <f t="shared" ca="1" si="80"/>
        <v/>
      </c>
      <c r="Z191" s="368" t="str">
        <f t="shared" ca="1" si="81"/>
        <v/>
      </c>
      <c r="AA191" s="369" t="str">
        <f t="shared" ca="1" si="82"/>
        <v/>
      </c>
      <c r="AB191" s="344"/>
      <c r="AC191" s="363" t="e">
        <f t="shared" ca="1" si="83"/>
        <v>#N/A</v>
      </c>
      <c r="AD191" s="376" t="e">
        <f t="shared" ca="1" si="84"/>
        <v>#N/A</v>
      </c>
      <c r="AE191" s="377">
        <f t="shared" ca="1" si="63"/>
        <v>125.0300305558761</v>
      </c>
      <c r="AF191" s="344"/>
      <c r="AG191" s="359">
        <f t="shared" ca="1" si="85"/>
        <v>66.017047418221551</v>
      </c>
      <c r="AH191" s="357">
        <f t="shared" ca="1" si="86"/>
        <v>75.595838472805639</v>
      </c>
    </row>
    <row r="192" spans="1:34" x14ac:dyDescent="0.25">
      <c r="A192" s="402">
        <f t="shared" ca="1" si="64"/>
        <v>0.01</v>
      </c>
      <c r="B192" s="357">
        <f t="shared" ca="1" si="65"/>
        <v>1.8800000000000014</v>
      </c>
      <c r="C192" s="342"/>
      <c r="D192" s="359">
        <f t="shared" ca="1" si="66"/>
        <v>16.301258611691594</v>
      </c>
      <c r="E192" s="360">
        <f t="shared" ca="1" si="67"/>
        <v>63.88384191863851</v>
      </c>
      <c r="F192" s="357">
        <f t="shared" ca="1" si="68"/>
        <v>65.930844758814089</v>
      </c>
      <c r="G192" s="359">
        <f t="shared" ca="1" si="69"/>
        <v>29.333032059102184</v>
      </c>
      <c r="H192" s="360">
        <f t="shared" ca="1" si="70"/>
        <v>132.50907341220767</v>
      </c>
      <c r="I192" s="357">
        <f t="shared" ca="1" si="71"/>
        <v>135.71691606554489</v>
      </c>
      <c r="J192" s="359">
        <f t="shared" ca="1" si="72"/>
        <v>26.237902145510947</v>
      </c>
      <c r="K192" s="360">
        <f t="shared" ca="1" si="73"/>
        <v>126.35192709790223</v>
      </c>
      <c r="L192" s="357">
        <f t="shared" ca="1" si="58"/>
        <v>129.04742147889283</v>
      </c>
      <c r="M192" s="359">
        <f t="shared" ca="1" si="74"/>
        <v>1.3529432529866765</v>
      </c>
      <c r="N192" s="357">
        <f t="shared" ca="1" si="75"/>
        <v>77.517938316836975</v>
      </c>
      <c r="O192" s="343"/>
      <c r="P192" s="363">
        <f t="shared" ca="1" si="76"/>
        <v>7</v>
      </c>
      <c r="Q192" s="357">
        <f t="shared" ca="1" si="77"/>
        <v>923.44545454545437</v>
      </c>
      <c r="R192" s="359">
        <f t="shared" ca="1" si="78"/>
        <v>0.4625836193448743</v>
      </c>
      <c r="S192" s="360">
        <f t="shared" ca="1" si="79"/>
        <v>11.567437142995002</v>
      </c>
      <c r="T192" s="357">
        <f t="shared" ca="1" si="59"/>
        <v>113.47655837278099</v>
      </c>
      <c r="U192" s="364">
        <f t="shared" ca="1" si="60"/>
        <v>0</v>
      </c>
      <c r="V192" s="359">
        <f t="shared" ca="1" si="61"/>
        <v>1.2096190595041187</v>
      </c>
      <c r="W192" s="357">
        <f t="shared" ca="1" si="62"/>
        <v>50.876441671524745</v>
      </c>
      <c r="X192" s="343"/>
      <c r="Y192" s="367" t="str">
        <f t="shared" ca="1" si="80"/>
        <v/>
      </c>
      <c r="Z192" s="368" t="str">
        <f t="shared" ca="1" si="81"/>
        <v/>
      </c>
      <c r="AA192" s="369" t="str">
        <f t="shared" ca="1" si="82"/>
        <v/>
      </c>
      <c r="AB192" s="344"/>
      <c r="AC192" s="363" t="e">
        <f t="shared" ca="1" si="83"/>
        <v>#N/A</v>
      </c>
      <c r="AD192" s="376" t="e">
        <f t="shared" ca="1" si="84"/>
        <v>#N/A</v>
      </c>
      <c r="AE192" s="377">
        <f t="shared" ca="1" si="63"/>
        <v>126.35192709790223</v>
      </c>
      <c r="AF192" s="344"/>
      <c r="AG192" s="359">
        <f t="shared" ca="1" si="85"/>
        <v>65.89679102750398</v>
      </c>
      <c r="AH192" s="357">
        <f t="shared" ca="1" si="86"/>
        <v>75.475250043007691</v>
      </c>
    </row>
    <row r="193" spans="1:34" x14ac:dyDescent="0.25">
      <c r="A193" s="402">
        <f t="shared" ca="1" si="64"/>
        <v>0.01</v>
      </c>
      <c r="B193" s="357">
        <f t="shared" ca="1" si="65"/>
        <v>1.8900000000000015</v>
      </c>
      <c r="C193" s="342"/>
      <c r="D193" s="359">
        <f t="shared" ca="1" si="66"/>
        <v>16.2866451746488</v>
      </c>
      <c r="E193" s="360">
        <f t="shared" ca="1" si="67"/>
        <v>63.763310005517752</v>
      </c>
      <c r="F193" s="357">
        <f t="shared" ca="1" si="68"/>
        <v>65.810443805711188</v>
      </c>
      <c r="G193" s="359">
        <f t="shared" ca="1" si="69"/>
        <v>29.495898510848672</v>
      </c>
      <c r="H193" s="360">
        <f t="shared" ca="1" si="70"/>
        <v>133.14670651226285</v>
      </c>
      <c r="I193" s="357">
        <f t="shared" ca="1" si="71"/>
        <v>136.3746805093414</v>
      </c>
      <c r="J193" s="359">
        <f t="shared" ca="1" si="72"/>
        <v>26.532046798360703</v>
      </c>
      <c r="K193" s="360">
        <f t="shared" ca="1" si="73"/>
        <v>127.68020599752458</v>
      </c>
      <c r="L193" s="357">
        <f t="shared" ca="1" si="58"/>
        <v>130.40776246405241</v>
      </c>
      <c r="M193" s="359">
        <f t="shared" ca="1" si="74"/>
        <v>1.3527877788201235</v>
      </c>
      <c r="N193" s="357">
        <f t="shared" ca="1" si="75"/>
        <v>77.509030303270166</v>
      </c>
      <c r="O193" s="343"/>
      <c r="P193" s="363">
        <f t="shared" ca="1" si="76"/>
        <v>7</v>
      </c>
      <c r="Q193" s="357">
        <f t="shared" ca="1" si="77"/>
        <v>922.18571428571408</v>
      </c>
      <c r="R193" s="359">
        <f t="shared" ca="1" si="78"/>
        <v>0.46195257480844093</v>
      </c>
      <c r="S193" s="360">
        <f t="shared" ca="1" si="79"/>
        <v>11.562817617246917</v>
      </c>
      <c r="T193" s="357">
        <f t="shared" ca="1" si="59"/>
        <v>113.43124082519226</v>
      </c>
      <c r="U193" s="364">
        <f t="shared" ca="1" si="60"/>
        <v>0</v>
      </c>
      <c r="V193" s="359">
        <f t="shared" ca="1" si="61"/>
        <v>1.2094583925473577</v>
      </c>
      <c r="W193" s="357">
        <f t="shared" ca="1" si="62"/>
        <v>51.363968088731589</v>
      </c>
      <c r="X193" s="343"/>
      <c r="Y193" s="367" t="str">
        <f t="shared" ca="1" si="80"/>
        <v/>
      </c>
      <c r="Z193" s="368" t="str">
        <f t="shared" ca="1" si="81"/>
        <v/>
      </c>
      <c r="AA193" s="369" t="str">
        <f t="shared" ca="1" si="82"/>
        <v/>
      </c>
      <c r="AB193" s="344"/>
      <c r="AC193" s="363" t="e">
        <f t="shared" ca="1" si="83"/>
        <v>#N/A</v>
      </c>
      <c r="AD193" s="376" t="e">
        <f t="shared" ca="1" si="84"/>
        <v>#N/A</v>
      </c>
      <c r="AE193" s="377">
        <f t="shared" ca="1" si="63"/>
        <v>127.68020599752458</v>
      </c>
      <c r="AF193" s="344"/>
      <c r="AG193" s="359">
        <f t="shared" ca="1" si="85"/>
        <v>65.77627955573648</v>
      </c>
      <c r="AH193" s="357">
        <f t="shared" ca="1" si="86"/>
        <v>75.354407676080442</v>
      </c>
    </row>
    <row r="194" spans="1:34" x14ac:dyDescent="0.25">
      <c r="A194" s="402">
        <f t="shared" ca="1" si="64"/>
        <v>0.01</v>
      </c>
      <c r="B194" s="357">
        <f t="shared" ca="1" si="65"/>
        <v>1.9000000000000015</v>
      </c>
      <c r="C194" s="342"/>
      <c r="D194" s="359">
        <f t="shared" ca="1" si="66"/>
        <v>16.271892608876787</v>
      </c>
      <c r="E194" s="360">
        <f t="shared" ca="1" si="67"/>
        <v>63.642548285529045</v>
      </c>
      <c r="F194" s="357">
        <f t="shared" ca="1" si="68"/>
        <v>65.689789475615726</v>
      </c>
      <c r="G194" s="359">
        <f t="shared" ca="1" si="69"/>
        <v>29.65861743693744</v>
      </c>
      <c r="H194" s="360">
        <f t="shared" ca="1" si="70"/>
        <v>133.78313199511814</v>
      </c>
      <c r="I194" s="357">
        <f t="shared" ca="1" si="71"/>
        <v>137.03123729534741</v>
      </c>
      <c r="J194" s="359">
        <f t="shared" ca="1" si="72"/>
        <v>26.827819378099633</v>
      </c>
      <c r="K194" s="360">
        <f t="shared" ca="1" si="73"/>
        <v>129.0148551900615</v>
      </c>
      <c r="L194" s="357">
        <f t="shared" ca="1" si="58"/>
        <v>131.77467416881166</v>
      </c>
      <c r="M194" s="359">
        <f t="shared" ca="1" si="74"/>
        <v>1.3526329409052962</v>
      </c>
      <c r="N194" s="357">
        <f t="shared" ca="1" si="75"/>
        <v>77.500158744241958</v>
      </c>
      <c r="O194" s="343"/>
      <c r="P194" s="363">
        <f t="shared" ca="1" si="76"/>
        <v>7</v>
      </c>
      <c r="Q194" s="357">
        <f t="shared" ca="1" si="77"/>
        <v>920.9259740259738</v>
      </c>
      <c r="R194" s="359">
        <f t="shared" ca="1" si="78"/>
        <v>0.46132153027200762</v>
      </c>
      <c r="S194" s="360">
        <f t="shared" ca="1" si="79"/>
        <v>11.558204401944197</v>
      </c>
      <c r="T194" s="357">
        <f t="shared" ca="1" si="59"/>
        <v>113.38598518307258</v>
      </c>
      <c r="U194" s="364">
        <f t="shared" ca="1" si="60"/>
        <v>0</v>
      </c>
      <c r="V194" s="359">
        <f t="shared" ca="1" si="61"/>
        <v>1.2092969764049757</v>
      </c>
      <c r="W194" s="357">
        <f t="shared" ca="1" si="62"/>
        <v>51.852806579466048</v>
      </c>
      <c r="X194" s="343"/>
      <c r="Y194" s="367" t="str">
        <f t="shared" ca="1" si="80"/>
        <v/>
      </c>
      <c r="Z194" s="368" t="str">
        <f t="shared" ca="1" si="81"/>
        <v/>
      </c>
      <c r="AA194" s="369" t="str">
        <f t="shared" ca="1" si="82"/>
        <v/>
      </c>
      <c r="AB194" s="344"/>
      <c r="AC194" s="363" t="e">
        <f t="shared" ca="1" si="83"/>
        <v>#N/A</v>
      </c>
      <c r="AD194" s="376" t="e">
        <f t="shared" ca="1" si="84"/>
        <v>#N/A</v>
      </c>
      <c r="AE194" s="377">
        <f t="shared" ca="1" si="63"/>
        <v>129.0148551900615</v>
      </c>
      <c r="AF194" s="344"/>
      <c r="AG194" s="359">
        <f t="shared" ca="1" si="85"/>
        <v>65.655514335913679</v>
      </c>
      <c r="AH194" s="357">
        <f t="shared" ca="1" si="86"/>
        <v>75.233312692668235</v>
      </c>
    </row>
    <row r="195" spans="1:34" x14ac:dyDescent="0.25">
      <c r="A195" s="402">
        <f t="shared" ca="1" si="64"/>
        <v>0.01</v>
      </c>
      <c r="B195" s="357">
        <f t="shared" ca="1" si="65"/>
        <v>1.9100000000000015</v>
      </c>
      <c r="C195" s="342"/>
      <c r="D195" s="359">
        <f t="shared" ca="1" si="66"/>
        <v>16.25700184017807</v>
      </c>
      <c r="E195" s="360">
        <f t="shared" ca="1" si="67"/>
        <v>63.521557941090748</v>
      </c>
      <c r="F195" s="357">
        <f t="shared" ca="1" si="68"/>
        <v>65.568883108490581</v>
      </c>
      <c r="G195" s="359">
        <f t="shared" ca="1" si="69"/>
        <v>29.821187455339221</v>
      </c>
      <c r="H195" s="360">
        <f t="shared" ca="1" si="70"/>
        <v>134.41834757452904</v>
      </c>
      <c r="I195" s="357">
        <f t="shared" ca="1" si="71"/>
        <v>137.68658389949755</v>
      </c>
      <c r="J195" s="359">
        <f t="shared" ca="1" si="72"/>
        <v>27.125218402561018</v>
      </c>
      <c r="K195" s="360">
        <f t="shared" ca="1" si="73"/>
        <v>130.35586258790974</v>
      </c>
      <c r="L195" s="357">
        <f t="shared" ca="1" si="58"/>
        <v>133.14814450237239</v>
      </c>
      <c r="M195" s="359">
        <f t="shared" ca="1" si="74"/>
        <v>1.352478732265239</v>
      </c>
      <c r="N195" s="357">
        <f t="shared" ca="1" si="75"/>
        <v>77.491323240002231</v>
      </c>
      <c r="O195" s="343"/>
      <c r="P195" s="363">
        <f t="shared" ca="1" si="76"/>
        <v>7</v>
      </c>
      <c r="Q195" s="357">
        <f t="shared" ca="1" si="77"/>
        <v>919.66623376623352</v>
      </c>
      <c r="R195" s="359">
        <f t="shared" ca="1" si="78"/>
        <v>0.46069048573557425</v>
      </c>
      <c r="S195" s="360">
        <f t="shared" ca="1" si="79"/>
        <v>11.553597497086841</v>
      </c>
      <c r="T195" s="357">
        <f t="shared" ca="1" si="59"/>
        <v>113.34079144642192</v>
      </c>
      <c r="U195" s="364">
        <f t="shared" ca="1" si="60"/>
        <v>0</v>
      </c>
      <c r="V195" s="359">
        <f t="shared" ca="1" si="61"/>
        <v>1.2091348128408439</v>
      </c>
      <c r="W195" s="357">
        <f t="shared" ca="1" si="62"/>
        <v>52.342940653485016</v>
      </c>
      <c r="X195" s="343"/>
      <c r="Y195" s="367" t="str">
        <f t="shared" ca="1" si="80"/>
        <v/>
      </c>
      <c r="Z195" s="368" t="str">
        <f t="shared" ca="1" si="81"/>
        <v/>
      </c>
      <c r="AA195" s="369" t="str">
        <f t="shared" ca="1" si="82"/>
        <v/>
      </c>
      <c r="AB195" s="344"/>
      <c r="AC195" s="363" t="e">
        <f t="shared" ca="1" si="83"/>
        <v>#N/A</v>
      </c>
      <c r="AD195" s="376" t="e">
        <f t="shared" ca="1" si="84"/>
        <v>#N/A</v>
      </c>
      <c r="AE195" s="377">
        <f t="shared" ca="1" si="63"/>
        <v>130.35586258790974</v>
      </c>
      <c r="AF195" s="344"/>
      <c r="AG195" s="359">
        <f t="shared" ca="1" si="85"/>
        <v>65.534496703568934</v>
      </c>
      <c r="AH195" s="357">
        <f t="shared" ca="1" si="86"/>
        <v>75.111966416138401</v>
      </c>
    </row>
    <row r="196" spans="1:34" x14ac:dyDescent="0.25">
      <c r="A196" s="402">
        <f t="shared" ca="1" si="64"/>
        <v>0.01</v>
      </c>
      <c r="B196" s="357">
        <f t="shared" ca="1" si="65"/>
        <v>1.9200000000000015</v>
      </c>
      <c r="C196" s="342"/>
      <c r="D196" s="359">
        <f t="shared" ca="1" si="66"/>
        <v>16.241973785134377</v>
      </c>
      <c r="E196" s="360">
        <f t="shared" ca="1" si="67"/>
        <v>63.400340158862321</v>
      </c>
      <c r="F196" s="357">
        <f t="shared" ca="1" si="68"/>
        <v>65.447726046795864</v>
      </c>
      <c r="G196" s="359">
        <f t="shared" ca="1" si="69"/>
        <v>29.983607193190565</v>
      </c>
      <c r="H196" s="360">
        <f t="shared" ca="1" si="70"/>
        <v>135.05235097611765</v>
      </c>
      <c r="I196" s="357">
        <f t="shared" ca="1" si="71"/>
        <v>138.34071781110583</v>
      </c>
      <c r="J196" s="359">
        <f t="shared" ca="1" si="72"/>
        <v>27.424242375803665</v>
      </c>
      <c r="K196" s="360">
        <f t="shared" ca="1" si="73"/>
        <v>131.70321608066297</v>
      </c>
      <c r="L196" s="357">
        <f t="shared" ref="L196:L259" ca="1" si="87">SQRT(pos_x^2+pos_z^2)</f>
        <v>134.52816134875488</v>
      </c>
      <c r="M196" s="359">
        <f t="shared" ca="1" si="74"/>
        <v>1.3523251460310044</v>
      </c>
      <c r="N196" s="357">
        <f t="shared" ca="1" si="75"/>
        <v>77.482523396989279</v>
      </c>
      <c r="O196" s="343"/>
      <c r="P196" s="363">
        <f t="shared" ca="1" si="76"/>
        <v>7</v>
      </c>
      <c r="Q196" s="357">
        <f t="shared" ca="1" si="77"/>
        <v>918.40649350649323</v>
      </c>
      <c r="R196" s="359">
        <f t="shared" ca="1" si="78"/>
        <v>0.46005944119914094</v>
      </c>
      <c r="S196" s="360">
        <f t="shared" ca="1" si="79"/>
        <v>11.548996902674849</v>
      </c>
      <c r="T196" s="357">
        <f t="shared" ref="T196:T259" ca="1" si="88">m*g</f>
        <v>113.29565961524028</v>
      </c>
      <c r="U196" s="364">
        <f t="shared" ref="U196:U259" ca="1" si="89">IF(pos_xz&lt;L_rampe,Poids*COS(Beta),0)</f>
        <v>0</v>
      </c>
      <c r="V196" s="359">
        <f t="shared" ref="V196:V259" ca="1" si="90">Rho_moyen*(20000-Alt_rampe-pos_z)/(20000+Alt_rampe+pos_z)</f>
        <v>1.2089719036221496</v>
      </c>
      <c r="W196" s="357">
        <f t="shared" ref="W196:W259" ca="1" si="91">1/2*Rho*Sref*Cx*vit_xz^2</f>
        <v>52.834353824140443</v>
      </c>
      <c r="X196" s="343"/>
      <c r="Y196" s="367" t="str">
        <f t="shared" ca="1" si="80"/>
        <v/>
      </c>
      <c r="Z196" s="368" t="str">
        <f t="shared" ca="1" si="81"/>
        <v/>
      </c>
      <c r="AA196" s="369" t="str">
        <f t="shared" ca="1" si="82"/>
        <v/>
      </c>
      <c r="AB196" s="344"/>
      <c r="AC196" s="363" t="e">
        <f t="shared" ca="1" si="83"/>
        <v>#N/A</v>
      </c>
      <c r="AD196" s="376" t="e">
        <f t="shared" ca="1" si="84"/>
        <v>#N/A</v>
      </c>
      <c r="AE196" s="377">
        <f t="shared" ref="AE196:AE259" ca="1" si="92">IF(t&lt;T_para, pos_z, NA())</f>
        <v>131.70321608066297</v>
      </c>
      <c r="AF196" s="344"/>
      <c r="AG196" s="359">
        <f t="shared" ca="1" si="85"/>
        <v>65.413227996728523</v>
      </c>
      <c r="AH196" s="357">
        <f t="shared" ca="1" si="86"/>
        <v>74.990370172531627</v>
      </c>
    </row>
    <row r="197" spans="1:34" x14ac:dyDescent="0.25">
      <c r="A197" s="402">
        <f t="shared" ref="A197:A260" ca="1" si="93">IF(B196+0.01&lt;=T_ini+ROUNDUP(Temps_fin_propu,0), 0.01, IF(K196&gt;0, 0.1, 0.0001))</f>
        <v>0.01</v>
      </c>
      <c r="B197" s="357">
        <f t="shared" ref="B197:B260" ca="1" si="94">B196+pas</f>
        <v>1.9300000000000015</v>
      </c>
      <c r="C197" s="342"/>
      <c r="D197" s="359">
        <f t="shared" ref="D197:D260" ca="1" si="95">IF(AND(L196&lt;L_rampe,Poussee&lt;Poids*SIN(M196)),0,(-W196+Poussee)/m*COS(M196)-U196/m*SIN(M196))</f>
        <v>16.226809351309871</v>
      </c>
      <c r="E197" s="360">
        <f t="shared" ref="E197:E260" ca="1" si="96">IF(AND(L196&lt;L_rampe,Poussee&lt;Poids*SIN(M196)),0,(-W196+Poussee)/m*SIN(M196)+U196/m*COS(M196)-Poids/m)</f>
        <v>63.278896129660609</v>
      </c>
      <c r="F197" s="357">
        <f t="shared" ref="F197:F260" ca="1" si="97">SQRT(acc_x^2+acc_z^2)</f>
        <v>65.326319635443525</v>
      </c>
      <c r="G197" s="359">
        <f t="shared" ref="G197:G260" ca="1" si="98">G196+acc_x*pas</f>
        <v>30.145875286703664</v>
      </c>
      <c r="H197" s="360">
        <f t="shared" ref="H197:H260" ca="1" si="99">H196+acc_z*pas</f>
        <v>135.68513993741425</v>
      </c>
      <c r="I197" s="357">
        <f t="shared" ref="I197:I260" ca="1" si="100">SQRT(vit_x^2+vit_z^2)</f>
        <v>138.99363653289018</v>
      </c>
      <c r="J197" s="359">
        <f t="shared" ref="J197:J260" ca="1" si="101">J196+0.5*(vit_x+G196)*pas*(K196&gt;=0)</f>
        <v>27.724889788203136</v>
      </c>
      <c r="K197" s="360">
        <f t="shared" ref="K197:K260" ca="1" si="102">K196+0.5*(vit_z+H196)*pas</f>
        <v>133.05690353523062</v>
      </c>
      <c r="L197" s="357">
        <f t="shared" ca="1" si="87"/>
        <v>135.91471256693177</v>
      </c>
      <c r="M197" s="359">
        <f t="shared" ref="M197:M260" ca="1" si="103">IF(AND(L196&gt;L_rampe,G197&gt;0),ATAN2(G197,H197),$M$4)</f>
        <v>1.3521721754393929</v>
      </c>
      <c r="N197" s="357">
        <f t="shared" ref="N197:N260" ca="1" si="104">DEGREES(Beta)</f>
        <v>77.473758827700323</v>
      </c>
      <c r="O197" s="343"/>
      <c r="P197" s="363">
        <f t="shared" ref="P197:P260" ca="1" si="105">MATCH(t-pas/2-T_ini,CdP_t)</f>
        <v>7</v>
      </c>
      <c r="Q197" s="357">
        <f t="shared" ref="Q197:Q260" ca="1" si="106">(INDEX(CdP,2,i_P+1)-INDEX(CdP,2,i_P+0))/(INDEX(CdP,1,i_P+1)-INDEX(CdP,1,i_P+0))*(t-pas/2-T_ini-INDEX(CdP,1,i_P+0))+INDEX(CdP,2,i_P+0)</f>
        <v>917.14675324675295</v>
      </c>
      <c r="R197" s="359">
        <f t="shared" ref="R197:R260" ca="1" si="107">Poussee/(g*ISP)</f>
        <v>0.45942839666270757</v>
      </c>
      <c r="S197" s="360">
        <f t="shared" ref="S197:S260" ca="1" si="108">S196-Débit*pas</f>
        <v>11.544402618708222</v>
      </c>
      <c r="T197" s="357">
        <f t="shared" ca="1" si="88"/>
        <v>113.25058968952767</v>
      </c>
      <c r="U197" s="364">
        <f t="shared" ca="1" si="89"/>
        <v>0</v>
      </c>
      <c r="V197" s="359">
        <f t="shared" ca="1" si="90"/>
        <v>1.2088082505193698</v>
      </c>
      <c r="W197" s="357">
        <f t="shared" ca="1" si="91"/>
        <v>53.327029608929344</v>
      </c>
      <c r="X197" s="343"/>
      <c r="Y197" s="367" t="str">
        <f t="shared" ref="Y197:Y260" ca="1" si="109">IF(AND(pos_z&lt;=0,K196&gt;0),"Impact balistique","") &amp; IF(AND(H198&lt;0,vit_z&gt;=0),"Apogée","") &amp; IF(AND(Poussee=0,Q196&gt;0),"Fin de propulsion","") &amp; IF(AND(L198&gt;L_rampe,pos_xz&lt;=L_rampe),"Sortie de rampe","")</f>
        <v/>
      </c>
      <c r="Z197" s="368" t="str">
        <f t="shared" ref="Z197:Z260" ca="1" si="110">IF(ABS(t-T_para)&lt;pas/2,"Para","")</f>
        <v/>
      </c>
      <c r="AA197" s="369" t="str">
        <f t="shared" ref="AA197:AA260" ca="1" si="111">IF(ABS(t-T_satellite)&lt;pas/2,"Satellite","")</f>
        <v/>
      </c>
      <c r="AB197" s="344"/>
      <c r="AC197" s="363" t="e">
        <f t="shared" ref="AC197:AC260" ca="1" si="112">IF(ABS(t-ROUND(t,0))&lt;0.001,t,NA())</f>
        <v>#N/A</v>
      </c>
      <c r="AD197" s="376" t="e">
        <f t="shared" ref="AD197:AD260" ca="1" si="113">IF(ABS(t-ROUND(t,0))&lt;0.001,pos_x,NA())</f>
        <v>#N/A</v>
      </c>
      <c r="AE197" s="377">
        <f t="shared" ca="1" si="92"/>
        <v>133.05690353523062</v>
      </c>
      <c r="AF197" s="344"/>
      <c r="AG197" s="359">
        <f t="shared" ref="AG197:AG260" ca="1" si="114">IF(AND(L196&lt;L_rampe,Poussee&lt;Poids*SIN(M196)),0,(-W196+Poussee)/m-Poids*SIN(M196)/m)</f>
        <v>65.291709555865594</v>
      </c>
      <c r="AH197" s="357">
        <f t="shared" ref="AH197:AH260" ca="1" si="115">IF(AND(L196&lt;L_rampe,Poussee&lt;Poids*SIN(M196)), g*SIN(M196), (-W196+Poussee)/m)</f>
        <v>74.868525290512267</v>
      </c>
    </row>
    <row r="198" spans="1:34" x14ac:dyDescent="0.25">
      <c r="A198" s="402">
        <f t="shared" ca="1" si="93"/>
        <v>0.01</v>
      </c>
      <c r="B198" s="357">
        <f t="shared" ca="1" si="94"/>
        <v>1.9400000000000015</v>
      </c>
      <c r="C198" s="342"/>
      <c r="D198" s="359">
        <f t="shared" ca="1" si="95"/>
        <v>16.211509437448871</v>
      </c>
      <c r="E198" s="360">
        <f t="shared" ca="1" si="96"/>
        <v>63.157227048376996</v>
      </c>
      <c r="F198" s="357">
        <f t="shared" ca="1" si="97"/>
        <v>65.204665221751853</v>
      </c>
      <c r="G198" s="359">
        <f t="shared" ca="1" si="98"/>
        <v>30.307990381078152</v>
      </c>
      <c r="H198" s="360">
        <f t="shared" ca="1" si="99"/>
        <v>136.31671220789801</v>
      </c>
      <c r="I198" s="357">
        <f t="shared" ca="1" si="100"/>
        <v>139.64533758099628</v>
      </c>
      <c r="J198" s="359">
        <f t="shared" ca="1" si="101"/>
        <v>28.027159116542045</v>
      </c>
      <c r="K198" s="360">
        <f t="shared" ca="1" si="102"/>
        <v>134.41691279595719</v>
      </c>
      <c r="L198" s="357">
        <f t="shared" ca="1" si="87"/>
        <v>137.3077859909624</v>
      </c>
      <c r="M198" s="359">
        <f t="shared" ca="1" si="103"/>
        <v>1.3520198138307526</v>
      </c>
      <c r="N198" s="357">
        <f t="shared" ca="1" si="104"/>
        <v>77.465029150565414</v>
      </c>
      <c r="O198" s="343"/>
      <c r="P198" s="363">
        <f t="shared" ca="1" si="105"/>
        <v>7</v>
      </c>
      <c r="Q198" s="357">
        <f t="shared" ca="1" si="106"/>
        <v>915.88701298701278</v>
      </c>
      <c r="R198" s="359">
        <f t="shared" ca="1" si="107"/>
        <v>0.45879735212627432</v>
      </c>
      <c r="S198" s="360">
        <f t="shared" ca="1" si="108"/>
        <v>11.53981464518696</v>
      </c>
      <c r="T198" s="357">
        <f t="shared" ca="1" si="88"/>
        <v>113.20558166928409</v>
      </c>
      <c r="U198" s="364">
        <f t="shared" ca="1" si="89"/>
        <v>0</v>
      </c>
      <c r="V198" s="359">
        <f t="shared" ca="1" si="90"/>
        <v>1.2086438553062442</v>
      </c>
      <c r="W198" s="357">
        <f t="shared" ca="1" si="91"/>
        <v>53.820951530041988</v>
      </c>
      <c r="X198" s="343"/>
      <c r="Y198" s="367" t="str">
        <f t="shared" ca="1" si="109"/>
        <v/>
      </c>
      <c r="Z198" s="368" t="str">
        <f t="shared" ca="1" si="110"/>
        <v/>
      </c>
      <c r="AA198" s="369" t="str">
        <f t="shared" ca="1" si="111"/>
        <v/>
      </c>
      <c r="AB198" s="344"/>
      <c r="AC198" s="363" t="e">
        <f t="shared" ca="1" si="112"/>
        <v>#N/A</v>
      </c>
      <c r="AD198" s="376" t="e">
        <f t="shared" ca="1" si="113"/>
        <v>#N/A</v>
      </c>
      <c r="AE198" s="377">
        <f t="shared" ca="1" si="92"/>
        <v>134.41691279595719</v>
      </c>
      <c r="AF198" s="344"/>
      <c r="AG198" s="359">
        <f t="shared" ca="1" si="114"/>
        <v>65.169942723853978</v>
      </c>
      <c r="AH198" s="357">
        <f t="shared" ca="1" si="115"/>
        <v>74.746433101318573</v>
      </c>
    </row>
    <row r="199" spans="1:34" x14ac:dyDescent="0.25">
      <c r="A199" s="402">
        <f t="shared" ca="1" si="93"/>
        <v>0.01</v>
      </c>
      <c r="B199" s="357">
        <f t="shared" ca="1" si="94"/>
        <v>1.9500000000000015</v>
      </c>
      <c r="C199" s="342"/>
      <c r="D199" s="359">
        <f t="shared" ca="1" si="95"/>
        <v>16.196074933668001</v>
      </c>
      <c r="E199" s="360">
        <f t="shared" ca="1" si="96"/>
        <v>63.035334113895559</v>
      </c>
      <c r="F199" s="357">
        <f t="shared" ca="1" si="97"/>
        <v>65.082764155400113</v>
      </c>
      <c r="G199" s="359">
        <f t="shared" ca="1" si="98"/>
        <v>30.469951130414831</v>
      </c>
      <c r="H199" s="360">
        <f t="shared" ca="1" si="99"/>
        <v>136.94706554903695</v>
      </c>
      <c r="I199" s="357">
        <f t="shared" ca="1" si="100"/>
        <v>140.29581848502147</v>
      </c>
      <c r="J199" s="359">
        <f t="shared" ca="1" si="101"/>
        <v>28.331048824099511</v>
      </c>
      <c r="K199" s="360">
        <f t="shared" ca="1" si="102"/>
        <v>135.78323168474185</v>
      </c>
      <c r="L199" s="357">
        <f t="shared" ca="1" si="87"/>
        <v>138.70736943012724</v>
      </c>
      <c r="M199" s="359">
        <f t="shared" ca="1" si="103"/>
        <v>1.3518680546468367</v>
      </c>
      <c r="N199" s="357">
        <f t="shared" ca="1" si="104"/>
        <v>77.456333989824685</v>
      </c>
      <c r="O199" s="343"/>
      <c r="P199" s="363">
        <f t="shared" ca="1" si="105"/>
        <v>7</v>
      </c>
      <c r="Q199" s="357">
        <f t="shared" ca="1" si="106"/>
        <v>914.6272727272725</v>
      </c>
      <c r="R199" s="359">
        <f t="shared" ca="1" si="107"/>
        <v>0.45816630758984095</v>
      </c>
      <c r="S199" s="360">
        <f t="shared" ca="1" si="108"/>
        <v>11.535232982111062</v>
      </c>
      <c r="T199" s="357">
        <f t="shared" ca="1" si="88"/>
        <v>113.16063555450953</v>
      </c>
      <c r="U199" s="364">
        <f t="shared" ca="1" si="89"/>
        <v>0</v>
      </c>
      <c r="V199" s="359">
        <f t="shared" ca="1" si="90"/>
        <v>1.2084787197597489</v>
      </c>
      <c r="W199" s="357">
        <f t="shared" ca="1" si="91"/>
        <v>54.316103114908834</v>
      </c>
      <c r="X199" s="343"/>
      <c r="Y199" s="367" t="str">
        <f t="shared" ca="1" si="109"/>
        <v/>
      </c>
      <c r="Z199" s="368" t="str">
        <f t="shared" ca="1" si="110"/>
        <v/>
      </c>
      <c r="AA199" s="369" t="str">
        <f t="shared" ca="1" si="111"/>
        <v/>
      </c>
      <c r="AB199" s="344"/>
      <c r="AC199" s="363" t="e">
        <f t="shared" ca="1" si="112"/>
        <v>#N/A</v>
      </c>
      <c r="AD199" s="376" t="e">
        <f t="shared" ca="1" si="113"/>
        <v>#N/A</v>
      </c>
      <c r="AE199" s="377">
        <f t="shared" ca="1" si="92"/>
        <v>135.78323168474185</v>
      </c>
      <c r="AF199" s="344"/>
      <c r="AG199" s="359">
        <f t="shared" ca="1" si="114"/>
        <v>65.047928845922172</v>
      </c>
      <c r="AH199" s="357">
        <f t="shared" ca="1" si="115"/>
        <v>74.6240949387131</v>
      </c>
    </row>
    <row r="200" spans="1:34" x14ac:dyDescent="0.25">
      <c r="A200" s="402">
        <f t="shared" ca="1" si="93"/>
        <v>0.01</v>
      </c>
      <c r="B200" s="357">
        <f t="shared" ca="1" si="94"/>
        <v>1.9600000000000015</v>
      </c>
      <c r="C200" s="342"/>
      <c r="D200" s="359">
        <f t="shared" ca="1" si="95"/>
        <v>16.180506721642992</v>
      </c>
      <c r="E200" s="360">
        <f t="shared" ca="1" si="96"/>
        <v>62.913218529012042</v>
      </c>
      <c r="F200" s="357">
        <f t="shared" ca="1" si="97"/>
        <v>64.96061778838282</v>
      </c>
      <c r="G200" s="359">
        <f t="shared" ca="1" si="98"/>
        <v>30.631756197631262</v>
      </c>
      <c r="H200" s="360">
        <f t="shared" ca="1" si="99"/>
        <v>137.57619773432708</v>
      </c>
      <c r="I200" s="357">
        <f t="shared" ca="1" si="100"/>
        <v>140.94507678803748</v>
      </c>
      <c r="J200" s="359">
        <f t="shared" ca="1" si="101"/>
        <v>28.63655736073974</v>
      </c>
      <c r="K200" s="360">
        <f t="shared" ca="1" si="102"/>
        <v>137.15584800115866</v>
      </c>
      <c r="L200" s="357">
        <f t="shared" ca="1" si="87"/>
        <v>140.11345066906273</v>
      </c>
      <c r="M200" s="359">
        <f t="shared" ca="1" si="103"/>
        <v>1.3517168914287141</v>
      </c>
      <c r="N200" s="357">
        <f t="shared" ca="1" si="104"/>
        <v>77.447672975408636</v>
      </c>
      <c r="O200" s="343"/>
      <c r="P200" s="363">
        <f t="shared" ca="1" si="105"/>
        <v>7</v>
      </c>
      <c r="Q200" s="357">
        <f t="shared" ca="1" si="106"/>
        <v>913.36753246753221</v>
      </c>
      <c r="R200" s="359">
        <f t="shared" ca="1" si="107"/>
        <v>0.45753526305340764</v>
      </c>
      <c r="S200" s="360">
        <f t="shared" ca="1" si="108"/>
        <v>11.530657629480528</v>
      </c>
      <c r="T200" s="357">
        <f t="shared" ca="1" si="88"/>
        <v>113.11575134520399</v>
      </c>
      <c r="U200" s="364">
        <f t="shared" ca="1" si="89"/>
        <v>0</v>
      </c>
      <c r="V200" s="359">
        <f t="shared" ca="1" si="90"/>
        <v>1.2083128456600691</v>
      </c>
      <c r="W200" s="357">
        <f t="shared" ca="1" si="91"/>
        <v>54.812467896745439</v>
      </c>
      <c r="X200" s="343"/>
      <c r="Y200" s="367" t="str">
        <f t="shared" ca="1" si="109"/>
        <v/>
      </c>
      <c r="Z200" s="368" t="str">
        <f t="shared" ca="1" si="110"/>
        <v/>
      </c>
      <c r="AA200" s="369" t="str">
        <f t="shared" ca="1" si="111"/>
        <v/>
      </c>
      <c r="AB200" s="344"/>
      <c r="AC200" s="363" t="e">
        <f t="shared" ca="1" si="112"/>
        <v>#N/A</v>
      </c>
      <c r="AD200" s="376" t="e">
        <f t="shared" ca="1" si="113"/>
        <v>#N/A</v>
      </c>
      <c r="AE200" s="377">
        <f t="shared" ca="1" si="92"/>
        <v>137.15584800115866</v>
      </c>
      <c r="AF200" s="344"/>
      <c r="AG200" s="359">
        <f t="shared" ca="1" si="114"/>
        <v>64.925669269606914</v>
      </c>
      <c r="AH200" s="357">
        <f t="shared" ca="1" si="115"/>
        <v>74.501512138932952</v>
      </c>
    </row>
    <row r="201" spans="1:34" x14ac:dyDescent="0.25">
      <c r="A201" s="402">
        <f t="shared" ca="1" si="93"/>
        <v>0.01</v>
      </c>
      <c r="B201" s="357">
        <f t="shared" ca="1" si="94"/>
        <v>1.9700000000000015</v>
      </c>
      <c r="C201" s="342"/>
      <c r="D201" s="359">
        <f t="shared" ca="1" si="95"/>
        <v>16.164805674790479</v>
      </c>
      <c r="E201" s="360">
        <f t="shared" ca="1" si="96"/>
        <v>62.790881500353507</v>
      </c>
      <c r="F201" s="357">
        <f t="shared" ca="1" si="97"/>
        <v>64.838227474963986</v>
      </c>
      <c r="G201" s="359">
        <f t="shared" ca="1" si="98"/>
        <v>30.793404254379166</v>
      </c>
      <c r="H201" s="360">
        <f t="shared" ca="1" si="99"/>
        <v>138.20410654933062</v>
      </c>
      <c r="I201" s="357">
        <f t="shared" ca="1" si="100"/>
        <v>141.5931100466133</v>
      </c>
      <c r="J201" s="359">
        <f t="shared" ca="1" si="101"/>
        <v>28.943683162999793</v>
      </c>
      <c r="K201" s="360">
        <f t="shared" ca="1" si="102"/>
        <v>138.53474952257696</v>
      </c>
      <c r="L201" s="357">
        <f t="shared" ca="1" si="87"/>
        <v>141.52601746789617</v>
      </c>
      <c r="M201" s="359">
        <f t="shared" ca="1" si="103"/>
        <v>1.351566317814737</v>
      </c>
      <c r="N201" s="357">
        <f t="shared" ca="1" si="104"/>
        <v>77.439045742821719</v>
      </c>
      <c r="O201" s="343"/>
      <c r="P201" s="363">
        <f t="shared" ca="1" si="105"/>
        <v>7</v>
      </c>
      <c r="Q201" s="357">
        <f t="shared" ca="1" si="106"/>
        <v>912.10779220779193</v>
      </c>
      <c r="R201" s="359">
        <f t="shared" ca="1" si="107"/>
        <v>0.45690421851697427</v>
      </c>
      <c r="S201" s="360">
        <f t="shared" ca="1" si="108"/>
        <v>11.526088587295359</v>
      </c>
      <c r="T201" s="357">
        <f t="shared" ca="1" si="88"/>
        <v>113.07092904136748</v>
      </c>
      <c r="U201" s="364">
        <f t="shared" ca="1" si="89"/>
        <v>0</v>
      </c>
      <c r="V201" s="359">
        <f t="shared" ca="1" si="90"/>
        <v>1.2081462347905745</v>
      </c>
      <c r="W201" s="357">
        <f t="shared" ca="1" si="91"/>
        <v>55.310029415095968</v>
      </c>
      <c r="X201" s="343"/>
      <c r="Y201" s="367" t="str">
        <f t="shared" ca="1" si="109"/>
        <v/>
      </c>
      <c r="Z201" s="368" t="str">
        <f t="shared" ca="1" si="110"/>
        <v/>
      </c>
      <c r="AA201" s="369" t="str">
        <f t="shared" ca="1" si="111"/>
        <v/>
      </c>
      <c r="AB201" s="344"/>
      <c r="AC201" s="363" t="e">
        <f t="shared" ca="1" si="112"/>
        <v>#N/A</v>
      </c>
      <c r="AD201" s="376" t="e">
        <f t="shared" ca="1" si="113"/>
        <v>#N/A</v>
      </c>
      <c r="AE201" s="377">
        <f t="shared" ca="1" si="92"/>
        <v>138.53474952257696</v>
      </c>
      <c r="AF201" s="344"/>
      <c r="AG201" s="359">
        <f t="shared" ca="1" si="114"/>
        <v>64.803165344706898</v>
      </c>
      <c r="AH201" s="357">
        <f t="shared" ca="1" si="115"/>
        <v>74.378686040640105</v>
      </c>
    </row>
    <row r="202" spans="1:34" x14ac:dyDescent="0.25">
      <c r="A202" s="402">
        <f t="shared" ca="1" si="93"/>
        <v>0.01</v>
      </c>
      <c r="B202" s="357">
        <f t="shared" ca="1" si="94"/>
        <v>1.9800000000000015</v>
      </c>
      <c r="C202" s="342"/>
      <c r="D202" s="359">
        <f t="shared" ca="1" si="95"/>
        <v>16.148972658444652</v>
      </c>
      <c r="E202" s="360">
        <f t="shared" ca="1" si="96"/>
        <v>62.668324238299107</v>
      </c>
      <c r="F202" s="357">
        <f t="shared" ca="1" si="97"/>
        <v>64.715594571631499</v>
      </c>
      <c r="G202" s="359">
        <f t="shared" ca="1" si="98"/>
        <v>30.954893980963611</v>
      </c>
      <c r="H202" s="360">
        <f t="shared" ca="1" si="99"/>
        <v>138.83078979171361</v>
      </c>
      <c r="I202" s="357">
        <f t="shared" ca="1" si="100"/>
        <v>142.23991583083728</v>
      </c>
      <c r="J202" s="359">
        <f t="shared" ca="1" si="101"/>
        <v>29.252424654176508</v>
      </c>
      <c r="K202" s="360">
        <f t="shared" ca="1" si="102"/>
        <v>139.91992400428219</v>
      </c>
      <c r="L202" s="357">
        <f t="shared" ca="1" si="87"/>
        <v>142.94505756238087</v>
      </c>
      <c r="M202" s="359">
        <f t="shared" ca="1" si="103"/>
        <v>1.3514163275385571</v>
      </c>
      <c r="N202" s="357">
        <f t="shared" ca="1" si="104"/>
        <v>77.430451933028607</v>
      </c>
      <c r="O202" s="343"/>
      <c r="P202" s="363">
        <f t="shared" ca="1" si="105"/>
        <v>7</v>
      </c>
      <c r="Q202" s="357">
        <f t="shared" ca="1" si="106"/>
        <v>910.84805194805176</v>
      </c>
      <c r="R202" s="359">
        <f t="shared" ca="1" si="107"/>
        <v>0.45627317398054101</v>
      </c>
      <c r="S202" s="360">
        <f t="shared" ca="1" si="108"/>
        <v>11.521525855555554</v>
      </c>
      <c r="T202" s="357">
        <f t="shared" ca="1" si="88"/>
        <v>113.02616864299999</v>
      </c>
      <c r="U202" s="364">
        <f t="shared" ca="1" si="89"/>
        <v>0</v>
      </c>
      <c r="V202" s="359">
        <f t="shared" ca="1" si="90"/>
        <v>1.20797888893779</v>
      </c>
      <c r="W202" s="357">
        <f t="shared" ca="1" si="91"/>
        <v>55.808771216374751</v>
      </c>
      <c r="X202" s="343"/>
      <c r="Y202" s="367" t="str">
        <f t="shared" ca="1" si="109"/>
        <v/>
      </c>
      <c r="Z202" s="368" t="str">
        <f t="shared" ca="1" si="110"/>
        <v/>
      </c>
      <c r="AA202" s="369" t="str">
        <f t="shared" ca="1" si="111"/>
        <v/>
      </c>
      <c r="AB202" s="344"/>
      <c r="AC202" s="363" t="e">
        <f t="shared" ca="1" si="112"/>
        <v>#N/A</v>
      </c>
      <c r="AD202" s="376" t="e">
        <f t="shared" ca="1" si="113"/>
        <v>#N/A</v>
      </c>
      <c r="AE202" s="377">
        <f t="shared" ca="1" si="92"/>
        <v>139.91992400428219</v>
      </c>
      <c r="AF202" s="344"/>
      <c r="AG202" s="359">
        <f t="shared" ca="1" si="114"/>
        <v>64.68041842323629</v>
      </c>
      <c r="AH202" s="357">
        <f t="shared" ca="1" si="115"/>
        <v>74.255617984871748</v>
      </c>
    </row>
    <row r="203" spans="1:34" x14ac:dyDescent="0.25">
      <c r="A203" s="402">
        <f t="shared" ca="1" si="93"/>
        <v>0.01</v>
      </c>
      <c r="B203" s="357">
        <f t="shared" ca="1" si="94"/>
        <v>1.9900000000000015</v>
      </c>
      <c r="C203" s="342"/>
      <c r="D203" s="359">
        <f t="shared" ca="1" si="95"/>
        <v>16.133008530029212</v>
      </c>
      <c r="E203" s="360">
        <f t="shared" ca="1" si="96"/>
        <v>62.54554795690126</v>
      </c>
      <c r="F203" s="357">
        <f t="shared" ca="1" si="97"/>
        <v>64.592720437051042</v>
      </c>
      <c r="G203" s="359">
        <f t="shared" ca="1" si="98"/>
        <v>31.116224066263904</v>
      </c>
      <c r="H203" s="360">
        <f t="shared" ca="1" si="99"/>
        <v>139.45624527128263</v>
      </c>
      <c r="I203" s="357">
        <f t="shared" ca="1" si="100"/>
        <v>142.88549172433875</v>
      </c>
      <c r="J203" s="359">
        <f t="shared" ca="1" si="101"/>
        <v>29.562780244412647</v>
      </c>
      <c r="K203" s="360">
        <f t="shared" ca="1" si="102"/>
        <v>141.31135917959716</v>
      </c>
      <c r="L203" s="357">
        <f t="shared" ca="1" si="87"/>
        <v>144.37055866403148</v>
      </c>
      <c r="M203" s="359">
        <f t="shared" ca="1" si="103"/>
        <v>1.3512669144271958</v>
      </c>
      <c r="N203" s="357">
        <f t="shared" ca="1" si="104"/>
        <v>77.421891192343693</v>
      </c>
      <c r="O203" s="343"/>
      <c r="P203" s="363">
        <f t="shared" ca="1" si="105"/>
        <v>7</v>
      </c>
      <c r="Q203" s="357">
        <f t="shared" ca="1" si="106"/>
        <v>909.58831168831148</v>
      </c>
      <c r="R203" s="359">
        <f t="shared" ca="1" si="107"/>
        <v>0.45564212944410765</v>
      </c>
      <c r="S203" s="360">
        <f t="shared" ca="1" si="108"/>
        <v>11.516969434261114</v>
      </c>
      <c r="T203" s="357">
        <f t="shared" ca="1" si="88"/>
        <v>112.98147015010153</v>
      </c>
      <c r="U203" s="364">
        <f t="shared" ca="1" si="89"/>
        <v>0</v>
      </c>
      <c r="V203" s="359">
        <f t="shared" ca="1" si="90"/>
        <v>1.207810809891372</v>
      </c>
      <c r="W203" s="357">
        <f t="shared" ca="1" si="91"/>
        <v>56.308676854406237</v>
      </c>
      <c r="X203" s="343"/>
      <c r="Y203" s="367" t="str">
        <f t="shared" ca="1" si="109"/>
        <v/>
      </c>
      <c r="Z203" s="368" t="str">
        <f t="shared" ca="1" si="110"/>
        <v/>
      </c>
      <c r="AA203" s="369" t="str">
        <f t="shared" ca="1" si="111"/>
        <v/>
      </c>
      <c r="AB203" s="344"/>
      <c r="AC203" s="363" t="e">
        <f t="shared" ca="1" si="112"/>
        <v>#N/A</v>
      </c>
      <c r="AD203" s="376" t="e">
        <f t="shared" ca="1" si="113"/>
        <v>#N/A</v>
      </c>
      <c r="AE203" s="377">
        <f t="shared" ca="1" si="92"/>
        <v>141.31135917959716</v>
      </c>
      <c r="AF203" s="344"/>
      <c r="AG203" s="359">
        <f t="shared" ca="1" si="114"/>
        <v>64.557429859378217</v>
      </c>
      <c r="AH203" s="357">
        <f t="shared" ca="1" si="115"/>
        <v>74.13230931499055</v>
      </c>
    </row>
    <row r="204" spans="1:34" x14ac:dyDescent="0.25">
      <c r="A204" s="402">
        <f t="shared" ca="1" si="93"/>
        <v>0.01</v>
      </c>
      <c r="B204" s="357">
        <f t="shared" ca="1" si="94"/>
        <v>2.0000000000000013</v>
      </c>
      <c r="C204" s="342"/>
      <c r="D204" s="359">
        <f t="shared" ca="1" si="95"/>
        <v>16.116914139224484</v>
      </c>
      <c r="E204" s="360">
        <f t="shared" ca="1" si="96"/>
        <v>62.422553873808099</v>
      </c>
      <c r="F204" s="357">
        <f t="shared" ca="1" si="97"/>
        <v>64.469606432020413</v>
      </c>
      <c r="G204" s="359">
        <f t="shared" ca="1" si="98"/>
        <v>31.27739320765615</v>
      </c>
      <c r="H204" s="360">
        <f t="shared" ca="1" si="99"/>
        <v>140.0804708100207</v>
      </c>
      <c r="I204" s="357">
        <f t="shared" ca="1" si="100"/>
        <v>143.52983532430949</v>
      </c>
      <c r="J204" s="359">
        <f t="shared" ca="1" si="101"/>
        <v>29.874748330782246</v>
      </c>
      <c r="K204" s="360">
        <f t="shared" ca="1" si="102"/>
        <v>142.70904276000368</v>
      </c>
      <c r="L204" s="357">
        <f t="shared" ca="1" si="87"/>
        <v>145.80250846025982</v>
      </c>
      <c r="M204" s="359">
        <f t="shared" ca="1" si="103"/>
        <v>1.35111807239916</v>
      </c>
      <c r="N204" s="357">
        <f t="shared" ca="1" si="104"/>
        <v>77.413363172323074</v>
      </c>
      <c r="O204" s="343"/>
      <c r="P204" s="363">
        <f t="shared" ca="1" si="105"/>
        <v>7</v>
      </c>
      <c r="Q204" s="357">
        <f t="shared" ca="1" si="106"/>
        <v>908.32857142857119</v>
      </c>
      <c r="R204" s="359">
        <f t="shared" ca="1" si="107"/>
        <v>0.45501108490767428</v>
      </c>
      <c r="S204" s="360">
        <f t="shared" ca="1" si="108"/>
        <v>11.512419323412036</v>
      </c>
      <c r="T204" s="357">
        <f t="shared" ca="1" si="88"/>
        <v>112.93683356267208</v>
      </c>
      <c r="U204" s="364">
        <f t="shared" ca="1" si="89"/>
        <v>0</v>
      </c>
      <c r="V204" s="359">
        <f t="shared" ca="1" si="90"/>
        <v>1.2076419994440777</v>
      </c>
      <c r="W204" s="357">
        <f t="shared" ca="1" si="91"/>
        <v>56.809729890963162</v>
      </c>
      <c r="X204" s="343"/>
      <c r="Y204" s="367" t="str">
        <f t="shared" ca="1" si="109"/>
        <v/>
      </c>
      <c r="Z204" s="368" t="str">
        <f t="shared" ca="1" si="110"/>
        <v/>
      </c>
      <c r="AA204" s="369" t="str">
        <f t="shared" ca="1" si="111"/>
        <v/>
      </c>
      <c r="AB204" s="344"/>
      <c r="AC204" s="363">
        <f t="shared" ca="1" si="112"/>
        <v>2.0000000000000013</v>
      </c>
      <c r="AD204" s="376">
        <f t="shared" ca="1" si="113"/>
        <v>29.874748330782246</v>
      </c>
      <c r="AE204" s="377">
        <f t="shared" ca="1" si="92"/>
        <v>142.70904276000368</v>
      </c>
      <c r="AF204" s="344"/>
      <c r="AG204" s="359">
        <f t="shared" ca="1" si="114"/>
        <v>64.43420100943834</v>
      </c>
      <c r="AH204" s="357">
        <f t="shared" ca="1" si="115"/>
        <v>74.00876137663515</v>
      </c>
    </row>
    <row r="205" spans="1:34" x14ac:dyDescent="0.25">
      <c r="A205" s="402">
        <f t="shared" ca="1" si="93"/>
        <v>0.01</v>
      </c>
      <c r="B205" s="357">
        <f t="shared" ca="1" si="94"/>
        <v>2.0100000000000011</v>
      </c>
      <c r="C205" s="342"/>
      <c r="D205" s="359">
        <f t="shared" ca="1" si="95"/>
        <v>16.100690328130156</v>
      </c>
      <c r="E205" s="360">
        <f t="shared" ca="1" si="96"/>
        <v>62.299343210186024</v>
      </c>
      <c r="F205" s="357">
        <f t="shared" ca="1" si="97"/>
        <v>64.346253919423276</v>
      </c>
      <c r="G205" s="359">
        <f t="shared" ca="1" si="98"/>
        <v>31.438400110937451</v>
      </c>
      <c r="H205" s="360">
        <f t="shared" ca="1" si="99"/>
        <v>140.70346424212255</v>
      </c>
      <c r="I205" s="357">
        <f t="shared" ca="1" si="100"/>
        <v>144.17294424152422</v>
      </c>
      <c r="J205" s="359">
        <f t="shared" ca="1" si="101"/>
        <v>30.188327297375213</v>
      </c>
      <c r="K205" s="360">
        <f t="shared" ca="1" si="102"/>
        <v>144.11296243526439</v>
      </c>
      <c r="L205" s="357">
        <f t="shared" ca="1" si="87"/>
        <v>147.24089461451047</v>
      </c>
      <c r="M205" s="359">
        <f t="shared" ca="1" si="103"/>
        <v>1.3509697954626074</v>
      </c>
      <c r="N205" s="357">
        <f t="shared" ca="1" si="104"/>
        <v>77.404867529659484</v>
      </c>
      <c r="O205" s="343"/>
      <c r="P205" s="363">
        <f t="shared" ca="1" si="105"/>
        <v>7</v>
      </c>
      <c r="Q205" s="357">
        <f t="shared" ca="1" si="106"/>
        <v>907.06883116883091</v>
      </c>
      <c r="R205" s="359">
        <f t="shared" ca="1" si="107"/>
        <v>0.45438004037124097</v>
      </c>
      <c r="S205" s="360">
        <f t="shared" ca="1" si="108"/>
        <v>11.507875523008323</v>
      </c>
      <c r="T205" s="357">
        <f t="shared" ca="1" si="88"/>
        <v>112.89225888071165</v>
      </c>
      <c r="U205" s="364">
        <f t="shared" ca="1" si="89"/>
        <v>0</v>
      </c>
      <c r="V205" s="359">
        <f t="shared" ca="1" si="90"/>
        <v>1.2074724593917432</v>
      </c>
      <c r="W205" s="357">
        <f t="shared" ca="1" si="91"/>
        <v>57.31191389630284</v>
      </c>
      <c r="X205" s="343"/>
      <c r="Y205" s="367" t="str">
        <f t="shared" ca="1" si="109"/>
        <v/>
      </c>
      <c r="Z205" s="368" t="str">
        <f t="shared" ca="1" si="110"/>
        <v/>
      </c>
      <c r="AA205" s="369" t="str">
        <f t="shared" ca="1" si="111"/>
        <v/>
      </c>
      <c r="AB205" s="344"/>
      <c r="AC205" s="363" t="e">
        <f t="shared" ca="1" si="112"/>
        <v>#N/A</v>
      </c>
      <c r="AD205" s="376" t="e">
        <f t="shared" ca="1" si="113"/>
        <v>#N/A</v>
      </c>
      <c r="AE205" s="377">
        <f t="shared" ca="1" si="92"/>
        <v>144.11296243526439</v>
      </c>
      <c r="AF205" s="344"/>
      <c r="AG205" s="359">
        <f t="shared" ca="1" si="114"/>
        <v>64.310733231797968</v>
      </c>
      <c r="AH205" s="357">
        <f t="shared" ca="1" si="115"/>
        <v>73.884975517670341</v>
      </c>
    </row>
    <row r="206" spans="1:34" x14ac:dyDescent="0.25">
      <c r="A206" s="402">
        <f t="shared" ca="1" si="93"/>
        <v>0.01</v>
      </c>
      <c r="B206" s="357">
        <f t="shared" ca="1" si="94"/>
        <v>2.0200000000000009</v>
      </c>
      <c r="C206" s="342"/>
      <c r="D206" s="359">
        <f t="shared" ca="1" si="95"/>
        <v>16.084337931423523</v>
      </c>
      <c r="E206" s="360">
        <f t="shared" ca="1" si="96"/>
        <v>62.175917190643631</v>
      </c>
      <c r="F206" s="357">
        <f t="shared" ca="1" si="97"/>
        <v>64.22266426418328</v>
      </c>
      <c r="G206" s="359">
        <f t="shared" ca="1" si="98"/>
        <v>31.599243490251688</v>
      </c>
      <c r="H206" s="360">
        <f t="shared" ca="1" si="99"/>
        <v>141.32522341402898</v>
      </c>
      <c r="I206" s="357">
        <f t="shared" ca="1" si="100"/>
        <v>144.81481610036116</v>
      </c>
      <c r="J206" s="359">
        <f t="shared" ca="1" si="101"/>
        <v>30.50351551538116</v>
      </c>
      <c r="K206" s="360">
        <f t="shared" ca="1" si="102"/>
        <v>145.52310587354515</v>
      </c>
      <c r="L206" s="357">
        <f t="shared" ca="1" si="87"/>
        <v>148.68570476639687</v>
      </c>
      <c r="M206" s="359">
        <f t="shared" ca="1" si="103"/>
        <v>1.3508220777135571</v>
      </c>
      <c r="N206" s="357">
        <f t="shared" ca="1" si="104"/>
        <v>77.396403926079728</v>
      </c>
      <c r="O206" s="343"/>
      <c r="P206" s="363">
        <f t="shared" ca="1" si="105"/>
        <v>7</v>
      </c>
      <c r="Q206" s="357">
        <f t="shared" ca="1" si="106"/>
        <v>905.80909090909074</v>
      </c>
      <c r="R206" s="359">
        <f t="shared" ca="1" si="107"/>
        <v>0.45374899583480766</v>
      </c>
      <c r="S206" s="360">
        <f t="shared" ca="1" si="108"/>
        <v>11.503338033049975</v>
      </c>
      <c r="T206" s="357">
        <f t="shared" ca="1" si="88"/>
        <v>112.84774610422026</v>
      </c>
      <c r="U206" s="364">
        <f t="shared" ca="1" si="89"/>
        <v>0</v>
      </c>
      <c r="V206" s="359">
        <f t="shared" ca="1" si="90"/>
        <v>1.2073021915332527</v>
      </c>
      <c r="W206" s="357">
        <f t="shared" ca="1" si="91"/>
        <v>57.81521244970174</v>
      </c>
      <c r="X206" s="343"/>
      <c r="Y206" s="367" t="str">
        <f t="shared" ca="1" si="109"/>
        <v/>
      </c>
      <c r="Z206" s="368" t="str">
        <f t="shared" ca="1" si="110"/>
        <v/>
      </c>
      <c r="AA206" s="369" t="str">
        <f t="shared" ca="1" si="111"/>
        <v/>
      </c>
      <c r="AB206" s="344"/>
      <c r="AC206" s="363" t="e">
        <f t="shared" ca="1" si="112"/>
        <v>#N/A</v>
      </c>
      <c r="AD206" s="376" t="e">
        <f t="shared" ca="1" si="113"/>
        <v>#N/A</v>
      </c>
      <c r="AE206" s="377">
        <f t="shared" ca="1" si="92"/>
        <v>145.52310587354515</v>
      </c>
      <c r="AF206" s="344"/>
      <c r="AG206" s="359">
        <f t="shared" ca="1" si="114"/>
        <v>64.187027886867568</v>
      </c>
      <c r="AH206" s="357">
        <f t="shared" ca="1" si="115"/>
        <v>73.760953088137569</v>
      </c>
    </row>
    <row r="207" spans="1:34" x14ac:dyDescent="0.25">
      <c r="A207" s="402">
        <f t="shared" ca="1" si="93"/>
        <v>0.01</v>
      </c>
      <c r="B207" s="357">
        <f t="shared" ca="1" si="94"/>
        <v>2.0300000000000007</v>
      </c>
      <c r="C207" s="342"/>
      <c r="D207" s="359">
        <f t="shared" ca="1" si="95"/>
        <v>16.067857776513453</v>
      </c>
      <c r="E207" s="360">
        <f t="shared" ca="1" si="96"/>
        <v>62.052277043155854</v>
      </c>
      <c r="F207" s="357">
        <f t="shared" ca="1" si="97"/>
        <v>64.098838833217812</v>
      </c>
      <c r="G207" s="359">
        <f t="shared" ca="1" si="98"/>
        <v>31.759922068016824</v>
      </c>
      <c r="H207" s="360">
        <f t="shared" ca="1" si="99"/>
        <v>141.94574618446055</v>
      </c>
      <c r="I207" s="357">
        <f t="shared" ca="1" si="100"/>
        <v>145.45544853882166</v>
      </c>
      <c r="J207" s="359">
        <f t="shared" ca="1" si="101"/>
        <v>30.820311343172502</v>
      </c>
      <c r="K207" s="360">
        <f t="shared" ca="1" si="102"/>
        <v>146.93946072153759</v>
      </c>
      <c r="L207" s="357">
        <f t="shared" ca="1" si="87"/>
        <v>150.1369265318375</v>
      </c>
      <c r="M207" s="359">
        <f t="shared" ca="1" si="103"/>
        <v>1.3506749133341451</v>
      </c>
      <c r="N207" s="357">
        <f t="shared" ca="1" si="104"/>
        <v>77.387972028244761</v>
      </c>
      <c r="O207" s="343"/>
      <c r="P207" s="363">
        <f t="shared" ca="1" si="105"/>
        <v>7</v>
      </c>
      <c r="Q207" s="357">
        <f t="shared" ca="1" si="106"/>
        <v>904.54935064935046</v>
      </c>
      <c r="R207" s="359">
        <f t="shared" ca="1" si="107"/>
        <v>0.45311795129837434</v>
      </c>
      <c r="S207" s="360">
        <f t="shared" ca="1" si="108"/>
        <v>11.498806853536991</v>
      </c>
      <c r="T207" s="357">
        <f t="shared" ca="1" si="88"/>
        <v>112.80329523319789</v>
      </c>
      <c r="U207" s="364">
        <f t="shared" ca="1" si="89"/>
        <v>0</v>
      </c>
      <c r="V207" s="359">
        <f t="shared" ca="1" si="90"/>
        <v>1.2071311976705137</v>
      </c>
      <c r="W207" s="357">
        <f t="shared" ca="1" si="91"/>
        <v>58.319609139987982</v>
      </c>
      <c r="X207" s="343"/>
      <c r="Y207" s="367" t="str">
        <f t="shared" ca="1" si="109"/>
        <v/>
      </c>
      <c r="Z207" s="368" t="str">
        <f t="shared" ca="1" si="110"/>
        <v/>
      </c>
      <c r="AA207" s="369" t="str">
        <f t="shared" ca="1" si="111"/>
        <v/>
      </c>
      <c r="AB207" s="344"/>
      <c r="AC207" s="363" t="e">
        <f t="shared" ca="1" si="112"/>
        <v>#N/A</v>
      </c>
      <c r="AD207" s="376" t="e">
        <f t="shared" ca="1" si="113"/>
        <v>#N/A</v>
      </c>
      <c r="AE207" s="377">
        <f t="shared" ca="1" si="92"/>
        <v>146.93946072153759</v>
      </c>
      <c r="AF207" s="344"/>
      <c r="AG207" s="359">
        <f t="shared" ca="1" si="114"/>
        <v>64.063086337040005</v>
      </c>
      <c r="AH207" s="357">
        <f t="shared" ca="1" si="115"/>
        <v>73.636695440205287</v>
      </c>
    </row>
    <row r="208" spans="1:34" x14ac:dyDescent="0.25">
      <c r="A208" s="402">
        <f t="shared" ca="1" si="93"/>
        <v>0.01</v>
      </c>
      <c r="B208" s="357">
        <f t="shared" ca="1" si="94"/>
        <v>2.0400000000000005</v>
      </c>
      <c r="C208" s="342"/>
      <c r="D208" s="359">
        <f t="shared" ca="1" si="95"/>
        <v>16.05125068369027</v>
      </c>
      <c r="E208" s="360">
        <f t="shared" ca="1" si="96"/>
        <v>61.92842399898926</v>
      </c>
      <c r="F208" s="357">
        <f t="shared" ca="1" si="97"/>
        <v>63.97477899539205</v>
      </c>
      <c r="G208" s="359">
        <f t="shared" ca="1" si="98"/>
        <v>31.920434574853726</v>
      </c>
      <c r="H208" s="360">
        <f t="shared" ca="1" si="99"/>
        <v>142.56503042445044</v>
      </c>
      <c r="I208" s="357">
        <f t="shared" ca="1" si="100"/>
        <v>146.09483920854973</v>
      </c>
      <c r="J208" s="359">
        <f t="shared" ca="1" si="101"/>
        <v>31.138713126386854</v>
      </c>
      <c r="K208" s="360">
        <f t="shared" ca="1" si="102"/>
        <v>148.36201460458213</v>
      </c>
      <c r="L208" s="357">
        <f t="shared" ca="1" si="87"/>
        <v>151.59454750319239</v>
      </c>
      <c r="M208" s="359">
        <f t="shared" ca="1" si="103"/>
        <v>1.3505282965909229</v>
      </c>
      <c r="N208" s="357">
        <f t="shared" ca="1" si="104"/>
        <v>77.379571507652173</v>
      </c>
      <c r="O208" s="343"/>
      <c r="P208" s="363">
        <f t="shared" ca="1" si="105"/>
        <v>7</v>
      </c>
      <c r="Q208" s="357">
        <f t="shared" ca="1" si="106"/>
        <v>903.28961038961029</v>
      </c>
      <c r="R208" s="359">
        <f t="shared" ca="1" si="107"/>
        <v>0.45248690676194103</v>
      </c>
      <c r="S208" s="360">
        <f t="shared" ca="1" si="108"/>
        <v>11.494281984469371</v>
      </c>
      <c r="T208" s="357">
        <f t="shared" ca="1" si="88"/>
        <v>112.75890626764453</v>
      </c>
      <c r="U208" s="364">
        <f t="shared" ca="1" si="89"/>
        <v>0</v>
      </c>
      <c r="V208" s="359">
        <f t="shared" ca="1" si="90"/>
        <v>1.2069594796084291</v>
      </c>
      <c r="W208" s="357">
        <f t="shared" ca="1" si="91"/>
        <v>58.82508756607227</v>
      </c>
      <c r="X208" s="343"/>
      <c r="Y208" s="367" t="str">
        <f t="shared" ca="1" si="109"/>
        <v/>
      </c>
      <c r="Z208" s="368" t="str">
        <f t="shared" ca="1" si="110"/>
        <v/>
      </c>
      <c r="AA208" s="369" t="str">
        <f t="shared" ca="1" si="111"/>
        <v/>
      </c>
      <c r="AB208" s="344"/>
      <c r="AC208" s="363" t="e">
        <f t="shared" ca="1" si="112"/>
        <v>#N/A</v>
      </c>
      <c r="AD208" s="376" t="e">
        <f t="shared" ca="1" si="113"/>
        <v>#N/A</v>
      </c>
      <c r="AE208" s="377">
        <f t="shared" ca="1" si="92"/>
        <v>148.36201460458213</v>
      </c>
      <c r="AF208" s="344"/>
      <c r="AG208" s="359">
        <f t="shared" ca="1" si="114"/>
        <v>63.938909946643733</v>
      </c>
      <c r="AH208" s="357">
        <f t="shared" ca="1" si="115"/>
        <v>73.51220392811949</v>
      </c>
    </row>
    <row r="209" spans="1:34" x14ac:dyDescent="0.25">
      <c r="A209" s="402">
        <f t="shared" ca="1" si="93"/>
        <v>0.01</v>
      </c>
      <c r="B209" s="357">
        <f t="shared" ca="1" si="94"/>
        <v>2.0500000000000003</v>
      </c>
      <c r="C209" s="342"/>
      <c r="D209" s="359">
        <f t="shared" ca="1" si="95"/>
        <v>16.034517466271531</v>
      </c>
      <c r="E209" s="360">
        <f t="shared" ca="1" si="96"/>
        <v>61.804359292627481</v>
      </c>
      <c r="F209" s="357">
        <f t="shared" ca="1" si="97"/>
        <v>63.850486121472521</v>
      </c>
      <c r="G209" s="359">
        <f t="shared" ca="1" si="98"/>
        <v>32.080779749516438</v>
      </c>
      <c r="H209" s="360">
        <f t="shared" ca="1" si="99"/>
        <v>143.18307401737673</v>
      </c>
      <c r="I209" s="357">
        <f t="shared" ca="1" si="100"/>
        <v>146.73298577485079</v>
      </c>
      <c r="J209" s="359">
        <f t="shared" ca="1" si="101"/>
        <v>31.458719198008705</v>
      </c>
      <c r="K209" s="360">
        <f t="shared" ca="1" si="102"/>
        <v>149.79075512679125</v>
      </c>
      <c r="L209" s="357">
        <f t="shared" ca="1" si="87"/>
        <v>153.05855524939957</v>
      </c>
      <c r="M209" s="359">
        <f t="shared" ca="1" si="103"/>
        <v>1.3503822218331973</v>
      </c>
      <c r="N209" s="357">
        <f t="shared" ca="1" si="104"/>
        <v>77.371202040541093</v>
      </c>
      <c r="O209" s="343"/>
      <c r="P209" s="363">
        <f t="shared" ca="1" si="105"/>
        <v>7</v>
      </c>
      <c r="Q209" s="357">
        <f t="shared" ca="1" si="106"/>
        <v>902.02987012987001</v>
      </c>
      <c r="R209" s="359">
        <f t="shared" ca="1" si="107"/>
        <v>0.45185586222550772</v>
      </c>
      <c r="S209" s="360">
        <f t="shared" ca="1" si="108"/>
        <v>11.489763425847116</v>
      </c>
      <c r="T209" s="357">
        <f t="shared" ca="1" si="88"/>
        <v>112.71457920756021</v>
      </c>
      <c r="U209" s="364">
        <f t="shared" ca="1" si="89"/>
        <v>0</v>
      </c>
      <c r="V209" s="359">
        <f t="shared" ca="1" si="90"/>
        <v>1.2067870391548723</v>
      </c>
      <c r="W209" s="357">
        <f t="shared" ca="1" si="91"/>
        <v>59.331631337476594</v>
      </c>
      <c r="X209" s="343"/>
      <c r="Y209" s="367" t="str">
        <f t="shared" ca="1" si="109"/>
        <v/>
      </c>
      <c r="Z209" s="368" t="str">
        <f t="shared" ca="1" si="110"/>
        <v/>
      </c>
      <c r="AA209" s="369" t="str">
        <f t="shared" ca="1" si="111"/>
        <v/>
      </c>
      <c r="AB209" s="344"/>
      <c r="AC209" s="363" t="e">
        <f t="shared" ca="1" si="112"/>
        <v>#N/A</v>
      </c>
      <c r="AD209" s="376" t="e">
        <f t="shared" ca="1" si="113"/>
        <v>#N/A</v>
      </c>
      <c r="AE209" s="377">
        <f t="shared" ca="1" si="92"/>
        <v>149.79075512679125</v>
      </c>
      <c r="AF209" s="344"/>
      <c r="AG209" s="359">
        <f t="shared" ca="1" si="114"/>
        <v>63.81450008189595</v>
      </c>
      <c r="AH209" s="357">
        <f t="shared" ca="1" si="115"/>
        <v>73.387479908153992</v>
      </c>
    </row>
    <row r="210" spans="1:34" x14ac:dyDescent="0.25">
      <c r="A210" s="402">
        <f t="shared" ca="1" si="93"/>
        <v>0.01</v>
      </c>
      <c r="B210" s="357">
        <f t="shared" ca="1" si="94"/>
        <v>2.06</v>
      </c>
      <c r="C210" s="342"/>
      <c r="D210" s="359">
        <f t="shared" ca="1" si="95"/>
        <v>16.01595316458188</v>
      </c>
      <c r="E210" s="360">
        <f t="shared" ca="1" si="96"/>
        <v>61.672470978833786</v>
      </c>
      <c r="F210" s="357">
        <f t="shared" ca="1" si="97"/>
        <v>63.71816406963697</v>
      </c>
      <c r="G210" s="359">
        <f t="shared" ca="1" si="98"/>
        <v>32.240939281162255</v>
      </c>
      <c r="H210" s="360">
        <f t="shared" ca="1" si="99"/>
        <v>143.79979872716507</v>
      </c>
      <c r="I210" s="357">
        <f t="shared" ca="1" si="100"/>
        <v>147.36980789735995</v>
      </c>
      <c r="J210" s="359">
        <f t="shared" ca="1" si="101"/>
        <v>31.780327793162098</v>
      </c>
      <c r="K210" s="360">
        <f t="shared" ca="1" si="102"/>
        <v>151.22566949051395</v>
      </c>
      <c r="L210" s="357">
        <f t="shared" ca="1" si="87"/>
        <v>154.52893692604951</v>
      </c>
      <c r="M210" s="359">
        <f t="shared" ca="1" si="103"/>
        <v>1.3502366834143631</v>
      </c>
      <c r="N210" s="357">
        <f t="shared" ca="1" si="104"/>
        <v>77.362863303384884</v>
      </c>
      <c r="O210" s="343"/>
      <c r="P210" s="363">
        <f t="shared" ca="1" si="105"/>
        <v>8</v>
      </c>
      <c r="Q210" s="357">
        <f t="shared" ca="1" si="106"/>
        <v>900.68055555555543</v>
      </c>
      <c r="R210" s="359">
        <f t="shared" ca="1" si="107"/>
        <v>0.4511799470251579</v>
      </c>
      <c r="S210" s="360">
        <f t="shared" ca="1" si="108"/>
        <v>11.485251626376865</v>
      </c>
      <c r="T210" s="357">
        <f t="shared" ca="1" si="88"/>
        <v>112.67031845475705</v>
      </c>
      <c r="U210" s="364">
        <f t="shared" ca="1" si="89"/>
        <v>0</v>
      </c>
      <c r="V210" s="359">
        <f t="shared" ca="1" si="90"/>
        <v>1.2066138781665916</v>
      </c>
      <c r="W210" s="357">
        <f t="shared" ca="1" si="91"/>
        <v>59.839160717978451</v>
      </c>
      <c r="X210" s="343"/>
      <c r="Y210" s="367" t="str">
        <f t="shared" ca="1" si="109"/>
        <v/>
      </c>
      <c r="Z210" s="368" t="str">
        <f t="shared" ca="1" si="110"/>
        <v/>
      </c>
      <c r="AA210" s="369" t="str">
        <f t="shared" ca="1" si="111"/>
        <v/>
      </c>
      <c r="AB210" s="344"/>
      <c r="AC210" s="363" t="e">
        <f t="shared" ca="1" si="112"/>
        <v>#N/A</v>
      </c>
      <c r="AD210" s="376" t="e">
        <f t="shared" ca="1" si="113"/>
        <v>#N/A</v>
      </c>
      <c r="AE210" s="377">
        <f t="shared" ca="1" si="92"/>
        <v>151.22566949051395</v>
      </c>
      <c r="AF210" s="344"/>
      <c r="AG210" s="359">
        <f t="shared" ca="1" si="114"/>
        <v>63.682056175741984</v>
      </c>
      <c r="AH210" s="357">
        <f t="shared" ca="1" si="115"/>
        <v>73.254722803447251</v>
      </c>
    </row>
    <row r="211" spans="1:34" x14ac:dyDescent="0.25">
      <c r="A211" s="402">
        <f t="shared" ca="1" si="93"/>
        <v>0.01</v>
      </c>
      <c r="B211" s="357">
        <f t="shared" ca="1" si="94"/>
        <v>2.0699999999999998</v>
      </c>
      <c r="C211" s="342"/>
      <c r="D211" s="359">
        <f t="shared" ca="1" si="95"/>
        <v>15.995553835978155</v>
      </c>
      <c r="E211" s="360">
        <f t="shared" ca="1" si="96"/>
        <v>61.532754690993997</v>
      </c>
      <c r="F211" s="357">
        <f t="shared" ca="1" si="97"/>
        <v>63.577807782131963</v>
      </c>
      <c r="G211" s="359">
        <f t="shared" ca="1" si="98"/>
        <v>32.400894819522037</v>
      </c>
      <c r="H211" s="360">
        <f t="shared" ca="1" si="99"/>
        <v>144.41512627407502</v>
      </c>
      <c r="I211" s="357">
        <f t="shared" ca="1" si="100"/>
        <v>148.00522518432504</v>
      </c>
      <c r="J211" s="359">
        <f t="shared" ca="1" si="101"/>
        <v>32.103536963665519</v>
      </c>
      <c r="K211" s="360">
        <f t="shared" ca="1" si="102"/>
        <v>152.66674411552015</v>
      </c>
      <c r="L211" s="357">
        <f t="shared" ca="1" si="87"/>
        <v>156.00567888513271</v>
      </c>
      <c r="M211" s="359">
        <f t="shared" ca="1" si="103"/>
        <v>1.3500916756926526</v>
      </c>
      <c r="N211" s="357">
        <f t="shared" ca="1" si="104"/>
        <v>77.354554972934068</v>
      </c>
      <c r="O211" s="343"/>
      <c r="P211" s="363">
        <f t="shared" ca="1" si="105"/>
        <v>8</v>
      </c>
      <c r="Q211" s="357">
        <f t="shared" ca="1" si="106"/>
        <v>899.24166666666667</v>
      </c>
      <c r="R211" s="359">
        <f t="shared" ca="1" si="107"/>
        <v>0.45045916116089163</v>
      </c>
      <c r="S211" s="360">
        <f t="shared" ca="1" si="108"/>
        <v>11.480747034765256</v>
      </c>
      <c r="T211" s="357">
        <f t="shared" ca="1" si="88"/>
        <v>112.62612841104718</v>
      </c>
      <c r="U211" s="364">
        <f t="shared" ca="1" si="89"/>
        <v>0</v>
      </c>
      <c r="V211" s="359">
        <f t="shared" ca="1" si="90"/>
        <v>1.2064399985951122</v>
      </c>
      <c r="W211" s="357">
        <f t="shared" ca="1" si="91"/>
        <v>60.347594878346989</v>
      </c>
      <c r="X211" s="343"/>
      <c r="Y211" s="367" t="str">
        <f t="shared" ca="1" si="109"/>
        <v/>
      </c>
      <c r="Z211" s="368" t="str">
        <f t="shared" ca="1" si="110"/>
        <v/>
      </c>
      <c r="AA211" s="369" t="str">
        <f t="shared" ca="1" si="111"/>
        <v/>
      </c>
      <c r="AB211" s="344"/>
      <c r="AC211" s="363" t="e">
        <f t="shared" ca="1" si="112"/>
        <v>#N/A</v>
      </c>
      <c r="AD211" s="376" t="e">
        <f t="shared" ca="1" si="113"/>
        <v>#N/A</v>
      </c>
      <c r="AE211" s="377">
        <f t="shared" ca="1" si="92"/>
        <v>152.66674411552015</v>
      </c>
      <c r="AF211" s="344"/>
      <c r="AG211" s="359">
        <f t="shared" ca="1" si="114"/>
        <v>63.541573089443148</v>
      </c>
      <c r="AH211" s="357">
        <f t="shared" ca="1" si="115"/>
        <v>73.113927465422222</v>
      </c>
    </row>
    <row r="212" spans="1:34" x14ac:dyDescent="0.25">
      <c r="A212" s="402">
        <f t="shared" ca="1" si="93"/>
        <v>0.01</v>
      </c>
      <c r="B212" s="357">
        <f t="shared" ca="1" si="94"/>
        <v>2.0799999999999996</v>
      </c>
      <c r="C212" s="342"/>
      <c r="D212" s="359">
        <f t="shared" ca="1" si="95"/>
        <v>15.975024902562637</v>
      </c>
      <c r="E212" s="360">
        <f t="shared" ca="1" si="96"/>
        <v>61.39282484127726</v>
      </c>
      <c r="F212" s="357">
        <f t="shared" ca="1" si="97"/>
        <v>63.437215911712634</v>
      </c>
      <c r="G212" s="359">
        <f t="shared" ca="1" si="98"/>
        <v>32.560645068547664</v>
      </c>
      <c r="H212" s="360">
        <f t="shared" ca="1" si="99"/>
        <v>145.0290545224878</v>
      </c>
      <c r="I212" s="357">
        <f t="shared" ca="1" si="100"/>
        <v>148.6392352744277</v>
      </c>
      <c r="J212" s="359">
        <f t="shared" ca="1" si="101"/>
        <v>32.428344663105868</v>
      </c>
      <c r="K212" s="360">
        <f t="shared" ca="1" si="102"/>
        <v>154.11396501950296</v>
      </c>
      <c r="L212" s="357">
        <f t="shared" ca="1" si="87"/>
        <v>157.48876706489821</v>
      </c>
      <c r="M212" s="359">
        <f t="shared" ca="1" si="103"/>
        <v>1.3499471931077391</v>
      </c>
      <c r="N212" s="357">
        <f t="shared" ca="1" si="104"/>
        <v>77.346276730605382</v>
      </c>
      <c r="O212" s="343"/>
      <c r="P212" s="363">
        <f t="shared" ca="1" si="105"/>
        <v>8</v>
      </c>
      <c r="Q212" s="357">
        <f t="shared" ca="1" si="106"/>
        <v>897.80277777777781</v>
      </c>
      <c r="R212" s="359">
        <f t="shared" ca="1" si="107"/>
        <v>0.44973837529662536</v>
      </c>
      <c r="S212" s="360">
        <f t="shared" ca="1" si="108"/>
        <v>11.47624965101229</v>
      </c>
      <c r="T212" s="357">
        <f t="shared" ca="1" si="88"/>
        <v>112.58200907643058</v>
      </c>
      <c r="U212" s="364">
        <f t="shared" ca="1" si="89"/>
        <v>0</v>
      </c>
      <c r="V212" s="359">
        <f t="shared" ca="1" si="90"/>
        <v>1.206265402440756</v>
      </c>
      <c r="W212" s="357">
        <f t="shared" ca="1" si="91"/>
        <v>60.856915838274418</v>
      </c>
      <c r="X212" s="343"/>
      <c r="Y212" s="367" t="str">
        <f t="shared" ca="1" si="109"/>
        <v/>
      </c>
      <c r="Z212" s="368" t="str">
        <f t="shared" ca="1" si="110"/>
        <v/>
      </c>
      <c r="AA212" s="369" t="str">
        <f t="shared" ca="1" si="111"/>
        <v/>
      </c>
      <c r="AB212" s="344"/>
      <c r="AC212" s="363" t="e">
        <f t="shared" ca="1" si="112"/>
        <v>#N/A</v>
      </c>
      <c r="AD212" s="376" t="e">
        <f t="shared" ca="1" si="113"/>
        <v>#N/A</v>
      </c>
      <c r="AE212" s="377">
        <f t="shared" ca="1" si="92"/>
        <v>154.11396501950296</v>
      </c>
      <c r="AF212" s="344"/>
      <c r="AG212" s="359">
        <f t="shared" ca="1" si="114"/>
        <v>63.4008538664499</v>
      </c>
      <c r="AH212" s="357">
        <f t="shared" ca="1" si="115"/>
        <v>72.972896927661481</v>
      </c>
    </row>
    <row r="213" spans="1:34" x14ac:dyDescent="0.25">
      <c r="A213" s="402">
        <f t="shared" ca="1" si="93"/>
        <v>0.01</v>
      </c>
      <c r="B213" s="357">
        <f t="shared" ca="1" si="94"/>
        <v>2.0899999999999994</v>
      </c>
      <c r="C213" s="342"/>
      <c r="D213" s="359">
        <f t="shared" ca="1" si="95"/>
        <v>15.954367225119103</v>
      </c>
      <c r="E213" s="360">
        <f t="shared" ca="1" si="96"/>
        <v>61.252682858168484</v>
      </c>
      <c r="F213" s="357">
        <f t="shared" ca="1" si="97"/>
        <v>63.296390030374731</v>
      </c>
      <c r="G213" s="359">
        <f t="shared" ca="1" si="98"/>
        <v>32.720188740798854</v>
      </c>
      <c r="H213" s="360">
        <f t="shared" ca="1" si="99"/>
        <v>145.64158135106948</v>
      </c>
      <c r="I213" s="357">
        <f t="shared" ca="1" si="100"/>
        <v>149.27183582201195</v>
      </c>
      <c r="J213" s="359">
        <f t="shared" ca="1" si="101"/>
        <v>32.7547488321526</v>
      </c>
      <c r="K213" s="360">
        <f t="shared" ca="1" si="102"/>
        <v>155.56731819887074</v>
      </c>
      <c r="L213" s="357">
        <f t="shared" ca="1" si="87"/>
        <v>158.97818738004941</v>
      </c>
      <c r="M213" s="359">
        <f t="shared" ca="1" si="103"/>
        <v>1.3498032301791383</v>
      </c>
      <c r="N213" s="357">
        <f t="shared" ca="1" si="104"/>
        <v>77.33802826239021</v>
      </c>
      <c r="O213" s="343"/>
      <c r="P213" s="363">
        <f t="shared" ca="1" si="105"/>
        <v>8</v>
      </c>
      <c r="Q213" s="357">
        <f t="shared" ca="1" si="106"/>
        <v>896.36388888888894</v>
      </c>
      <c r="R213" s="359">
        <f t="shared" ca="1" si="107"/>
        <v>0.44901758943235903</v>
      </c>
      <c r="S213" s="360">
        <f t="shared" ca="1" si="108"/>
        <v>11.471759475117967</v>
      </c>
      <c r="T213" s="357">
        <f t="shared" ca="1" si="88"/>
        <v>112.53796045090726</v>
      </c>
      <c r="U213" s="364">
        <f t="shared" ca="1" si="89"/>
        <v>0</v>
      </c>
      <c r="V213" s="359">
        <f t="shared" ca="1" si="90"/>
        <v>1.2060900917066673</v>
      </c>
      <c r="W213" s="357">
        <f t="shared" ca="1" si="91"/>
        <v>61.367105639427535</v>
      </c>
      <c r="X213" s="343"/>
      <c r="Y213" s="367" t="str">
        <f t="shared" ca="1" si="109"/>
        <v/>
      </c>
      <c r="Z213" s="368" t="str">
        <f t="shared" ca="1" si="110"/>
        <v/>
      </c>
      <c r="AA213" s="369" t="str">
        <f t="shared" ca="1" si="111"/>
        <v/>
      </c>
      <c r="AB213" s="344"/>
      <c r="AC213" s="363" t="e">
        <f t="shared" ca="1" si="112"/>
        <v>#N/A</v>
      </c>
      <c r="AD213" s="376" t="e">
        <f t="shared" ca="1" si="113"/>
        <v>#N/A</v>
      </c>
      <c r="AE213" s="377">
        <f t="shared" ca="1" si="92"/>
        <v>155.56731819887074</v>
      </c>
      <c r="AF213" s="344"/>
      <c r="AG213" s="359">
        <f t="shared" ca="1" si="114"/>
        <v>63.259900073059946</v>
      </c>
      <c r="AH213" s="357">
        <f t="shared" ca="1" si="115"/>
        <v>72.831632746730236</v>
      </c>
    </row>
    <row r="214" spans="1:34" x14ac:dyDescent="0.25">
      <c r="A214" s="402">
        <f t="shared" ca="1" si="93"/>
        <v>0.01</v>
      </c>
      <c r="B214" s="357">
        <f t="shared" ca="1" si="94"/>
        <v>2.0999999999999992</v>
      </c>
      <c r="C214" s="342"/>
      <c r="D214" s="359">
        <f t="shared" ca="1" si="95"/>
        <v>15.933581657531153</v>
      </c>
      <c r="E214" s="360">
        <f t="shared" ca="1" si="96"/>
        <v>61.112330172737742</v>
      </c>
      <c r="F214" s="357">
        <f t="shared" ca="1" si="97"/>
        <v>63.155331711415506</v>
      </c>
      <c r="G214" s="359">
        <f t="shared" ca="1" si="98"/>
        <v>32.879524557374168</v>
      </c>
      <c r="H214" s="360">
        <f t="shared" ca="1" si="99"/>
        <v>146.25270465279687</v>
      </c>
      <c r="I214" s="357">
        <f t="shared" ca="1" si="100"/>
        <v>149.90302449709679</v>
      </c>
      <c r="J214" s="359">
        <f t="shared" ca="1" si="101"/>
        <v>33.082747398643463</v>
      </c>
      <c r="K214" s="360">
        <f t="shared" ca="1" si="102"/>
        <v>157.02678962889007</v>
      </c>
      <c r="L214" s="357">
        <f t="shared" ca="1" si="87"/>
        <v>160.47392572190086</v>
      </c>
      <c r="M214" s="359">
        <f t="shared" ca="1" si="103"/>
        <v>1.3496597815046489</v>
      </c>
      <c r="N214" s="357">
        <f t="shared" ca="1" si="104"/>
        <v>77.329809258765223</v>
      </c>
      <c r="O214" s="343"/>
      <c r="P214" s="363">
        <f t="shared" ca="1" si="105"/>
        <v>8</v>
      </c>
      <c r="Q214" s="357">
        <f t="shared" ca="1" si="106"/>
        <v>894.92500000000007</v>
      </c>
      <c r="R214" s="359">
        <f t="shared" ca="1" si="107"/>
        <v>0.44829680356809271</v>
      </c>
      <c r="S214" s="360">
        <f t="shared" ca="1" si="108"/>
        <v>11.467276507082286</v>
      </c>
      <c r="T214" s="357">
        <f t="shared" ca="1" si="88"/>
        <v>112.49398253447723</v>
      </c>
      <c r="U214" s="364">
        <f t="shared" ca="1" si="89"/>
        <v>0</v>
      </c>
      <c r="V214" s="359">
        <f t="shared" ca="1" si="90"/>
        <v>1.2059140683987819</v>
      </c>
      <c r="W214" s="357">
        <f t="shared" ca="1" si="91"/>
        <v>61.87814634602546</v>
      </c>
      <c r="X214" s="343"/>
      <c r="Y214" s="367" t="str">
        <f t="shared" ca="1" si="109"/>
        <v/>
      </c>
      <c r="Z214" s="368" t="str">
        <f t="shared" ca="1" si="110"/>
        <v/>
      </c>
      <c r="AA214" s="369" t="str">
        <f t="shared" ca="1" si="111"/>
        <v/>
      </c>
      <c r="AB214" s="344"/>
      <c r="AC214" s="363" t="e">
        <f t="shared" ca="1" si="112"/>
        <v>#N/A</v>
      </c>
      <c r="AD214" s="376" t="e">
        <f t="shared" ca="1" si="113"/>
        <v>#N/A</v>
      </c>
      <c r="AE214" s="377">
        <f t="shared" ca="1" si="92"/>
        <v>157.02678962889007</v>
      </c>
      <c r="AF214" s="344"/>
      <c r="AG214" s="359">
        <f t="shared" ca="1" si="114"/>
        <v>63.118713276842989</v>
      </c>
      <c r="AH214" s="357">
        <f t="shared" ca="1" si="115"/>
        <v>72.690136480598525</v>
      </c>
    </row>
    <row r="215" spans="1:34" x14ac:dyDescent="0.25">
      <c r="A215" s="402">
        <f t="shared" ca="1" si="93"/>
        <v>0.01</v>
      </c>
      <c r="B215" s="357">
        <f t="shared" ca="1" si="94"/>
        <v>2.109999999999999</v>
      </c>
      <c r="C215" s="342"/>
      <c r="D215" s="359">
        <f t="shared" ca="1" si="95"/>
        <v>15.912669046917262</v>
      </c>
      <c r="E215" s="360">
        <f t="shared" ca="1" si="96"/>
        <v>60.971768218559475</v>
      </c>
      <c r="F215" s="357">
        <f t="shared" ca="1" si="97"/>
        <v>63.014042529379573</v>
      </c>
      <c r="G215" s="359">
        <f t="shared" ca="1" si="98"/>
        <v>33.03865124784334</v>
      </c>
      <c r="H215" s="360">
        <f t="shared" ca="1" si="99"/>
        <v>146.86242233498245</v>
      </c>
      <c r="I215" s="357">
        <f t="shared" ca="1" si="100"/>
        <v>150.53279898538847</v>
      </c>
      <c r="J215" s="359">
        <f t="shared" ca="1" si="101"/>
        <v>33.412338277669548</v>
      </c>
      <c r="K215" s="360">
        <f t="shared" ca="1" si="102"/>
        <v>158.49236526382896</v>
      </c>
      <c r="L215" s="357">
        <f t="shared" ca="1" si="87"/>
        <v>161.97596795853514</v>
      </c>
      <c r="M215" s="359">
        <f t="shared" ca="1" si="103"/>
        <v>1.3495168417588328</v>
      </c>
      <c r="N215" s="357">
        <f t="shared" ca="1" si="104"/>
        <v>77.321619414605294</v>
      </c>
      <c r="O215" s="343"/>
      <c r="P215" s="363">
        <f t="shared" ca="1" si="105"/>
        <v>8</v>
      </c>
      <c r="Q215" s="357">
        <f t="shared" ca="1" si="106"/>
        <v>893.4861111111112</v>
      </c>
      <c r="R215" s="359">
        <f t="shared" ca="1" si="107"/>
        <v>0.44757601770382643</v>
      </c>
      <c r="S215" s="360">
        <f t="shared" ca="1" si="108"/>
        <v>11.462800746905247</v>
      </c>
      <c r="T215" s="357">
        <f t="shared" ca="1" si="88"/>
        <v>112.45007532714048</v>
      </c>
      <c r="U215" s="364">
        <f t="shared" ca="1" si="89"/>
        <v>0</v>
      </c>
      <c r="V215" s="359">
        <f t="shared" ca="1" si="90"/>
        <v>1.2057373345257958</v>
      </c>
      <c r="W215" s="357">
        <f t="shared" ca="1" si="91"/>
        <v>62.390020045414659</v>
      </c>
      <c r="X215" s="343"/>
      <c r="Y215" s="367" t="str">
        <f t="shared" ca="1" si="109"/>
        <v/>
      </c>
      <c r="Z215" s="368" t="str">
        <f t="shared" ca="1" si="110"/>
        <v/>
      </c>
      <c r="AA215" s="369" t="str">
        <f t="shared" ca="1" si="111"/>
        <v/>
      </c>
      <c r="AB215" s="344"/>
      <c r="AC215" s="363" t="e">
        <f t="shared" ca="1" si="112"/>
        <v>#N/A</v>
      </c>
      <c r="AD215" s="376" t="e">
        <f t="shared" ca="1" si="113"/>
        <v>#N/A</v>
      </c>
      <c r="AE215" s="377">
        <f t="shared" ca="1" si="92"/>
        <v>158.49236526382896</v>
      </c>
      <c r="AF215" s="344"/>
      <c r="AG215" s="359">
        <f t="shared" ca="1" si="114"/>
        <v>62.97729504658583</v>
      </c>
      <c r="AH215" s="357">
        <f t="shared" ca="1" si="115"/>
        <v>72.54840968858376</v>
      </c>
    </row>
    <row r="216" spans="1:34" x14ac:dyDescent="0.25">
      <c r="A216" s="402">
        <f t="shared" ca="1" si="93"/>
        <v>0.01</v>
      </c>
      <c r="B216" s="357">
        <f t="shared" ca="1" si="94"/>
        <v>2.1199999999999988</v>
      </c>
      <c r="C216" s="342"/>
      <c r="D216" s="359">
        <f t="shared" ca="1" si="95"/>
        <v>15.891630233762111</v>
      </c>
      <c r="E216" s="360">
        <f t="shared" ca="1" si="96"/>
        <v>60.830998431632295</v>
      </c>
      <c r="F216" s="357">
        <f t="shared" ca="1" si="97"/>
        <v>62.872524060004729</v>
      </c>
      <c r="G216" s="359">
        <f t="shared" ca="1" si="98"/>
        <v>33.197567550180963</v>
      </c>
      <c r="H216" s="360">
        <f t="shared" ca="1" si="99"/>
        <v>147.47073231929878</v>
      </c>
      <c r="I216" s="357">
        <f t="shared" ca="1" si="100"/>
        <v>151.16115698829213</v>
      </c>
      <c r="J216" s="359">
        <f t="shared" ca="1" si="101"/>
        <v>33.743519371659673</v>
      </c>
      <c r="K216" s="360">
        <f t="shared" ca="1" si="102"/>
        <v>159.96403103710037</v>
      </c>
      <c r="L216" s="357">
        <f t="shared" ca="1" si="87"/>
        <v>163.48429993496006</v>
      </c>
      <c r="M216" s="359">
        <f t="shared" ca="1" si="103"/>
        <v>1.3493744056915282</v>
      </c>
      <c r="N216" s="357">
        <f t="shared" ca="1" si="104"/>
        <v>77.313458429098304</v>
      </c>
      <c r="O216" s="343"/>
      <c r="P216" s="363">
        <f t="shared" ca="1" si="105"/>
        <v>8</v>
      </c>
      <c r="Q216" s="357">
        <f t="shared" ca="1" si="106"/>
        <v>892.04722222222233</v>
      </c>
      <c r="R216" s="359">
        <f t="shared" ca="1" si="107"/>
        <v>0.44685523183956011</v>
      </c>
      <c r="S216" s="360">
        <f t="shared" ca="1" si="108"/>
        <v>11.458332194586852</v>
      </c>
      <c r="T216" s="357">
        <f t="shared" ca="1" si="88"/>
        <v>112.40623882889702</v>
      </c>
      <c r="U216" s="364">
        <f t="shared" ca="1" si="89"/>
        <v>0</v>
      </c>
      <c r="V216" s="359">
        <f t="shared" ca="1" si="90"/>
        <v>1.2055598920991364</v>
      </c>
      <c r="W216" s="357">
        <f t="shared" ca="1" si="91"/>
        <v>62.902708848641247</v>
      </c>
      <c r="X216" s="343"/>
      <c r="Y216" s="367" t="str">
        <f t="shared" ca="1" si="109"/>
        <v/>
      </c>
      <c r="Z216" s="368" t="str">
        <f t="shared" ca="1" si="110"/>
        <v/>
      </c>
      <c r="AA216" s="369" t="str">
        <f t="shared" ca="1" si="111"/>
        <v/>
      </c>
      <c r="AB216" s="344"/>
      <c r="AC216" s="363" t="e">
        <f t="shared" ca="1" si="112"/>
        <v>#N/A</v>
      </c>
      <c r="AD216" s="376" t="e">
        <f t="shared" ca="1" si="113"/>
        <v>#N/A</v>
      </c>
      <c r="AE216" s="377">
        <f t="shared" ca="1" si="92"/>
        <v>159.96403103710037</v>
      </c>
      <c r="AF216" s="344"/>
      <c r="AG216" s="359">
        <f t="shared" ca="1" si="114"/>
        <v>62.835646952237383</v>
      </c>
      <c r="AH216" s="357">
        <f t="shared" ca="1" si="115"/>
        <v>72.406453931293299</v>
      </c>
    </row>
    <row r="217" spans="1:34" x14ac:dyDescent="0.25">
      <c r="A217" s="402">
        <f t="shared" ca="1" si="93"/>
        <v>0.01</v>
      </c>
      <c r="B217" s="357">
        <f t="shared" ca="1" si="94"/>
        <v>2.1299999999999986</v>
      </c>
      <c r="C217" s="342"/>
      <c r="D217" s="359">
        <f t="shared" ca="1" si="95"/>
        <v>15.870466052044605</v>
      </c>
      <c r="E217" s="360">
        <f t="shared" ca="1" si="96"/>
        <v>60.690022250299762</v>
      </c>
      <c r="F217" s="357">
        <f t="shared" ca="1" si="97"/>
        <v>62.730777880168048</v>
      </c>
      <c r="G217" s="359">
        <f t="shared" ca="1" si="98"/>
        <v>33.356272210701412</v>
      </c>
      <c r="H217" s="360">
        <f t="shared" ca="1" si="99"/>
        <v>148.07763254180176</v>
      </c>
      <c r="I217" s="357">
        <f t="shared" ca="1" si="100"/>
        <v>151.78809622292283</v>
      </c>
      <c r="J217" s="359">
        <f t="shared" ca="1" si="101"/>
        <v>34.076288570464087</v>
      </c>
      <c r="K217" s="360">
        <f t="shared" ca="1" si="102"/>
        <v>161.44177286140587</v>
      </c>
      <c r="L217" s="357">
        <f t="shared" ca="1" si="87"/>
        <v>164.99890747326572</v>
      </c>
      <c r="M217" s="359">
        <f t="shared" ca="1" si="103"/>
        <v>1.3492324681264038</v>
      </c>
      <c r="N217" s="357">
        <f t="shared" ca="1" si="104"/>
        <v>77.305326005662309</v>
      </c>
      <c r="O217" s="343"/>
      <c r="P217" s="363">
        <f t="shared" ca="1" si="105"/>
        <v>8</v>
      </c>
      <c r="Q217" s="357">
        <f t="shared" ca="1" si="106"/>
        <v>890.60833333333346</v>
      </c>
      <c r="R217" s="359">
        <f t="shared" ca="1" si="107"/>
        <v>0.44613444597529378</v>
      </c>
      <c r="S217" s="360">
        <f t="shared" ca="1" si="108"/>
        <v>11.4538708501271</v>
      </c>
      <c r="T217" s="357">
        <f t="shared" ca="1" si="88"/>
        <v>112.36247303974686</v>
      </c>
      <c r="U217" s="364">
        <f t="shared" ca="1" si="89"/>
        <v>0</v>
      </c>
      <c r="V217" s="359">
        <f t="shared" ca="1" si="90"/>
        <v>1.2053817431329312</v>
      </c>
      <c r="W217" s="357">
        <f t="shared" ca="1" si="91"/>
        <v>63.416194891020155</v>
      </c>
      <c r="X217" s="343"/>
      <c r="Y217" s="367" t="str">
        <f t="shared" ca="1" si="109"/>
        <v/>
      </c>
      <c r="Z217" s="368" t="str">
        <f t="shared" ca="1" si="110"/>
        <v/>
      </c>
      <c r="AA217" s="369" t="str">
        <f t="shared" ca="1" si="111"/>
        <v/>
      </c>
      <c r="AB217" s="344"/>
      <c r="AC217" s="363" t="e">
        <f t="shared" ca="1" si="112"/>
        <v>#N/A</v>
      </c>
      <c r="AD217" s="376" t="e">
        <f t="shared" ca="1" si="113"/>
        <v>#N/A</v>
      </c>
      <c r="AE217" s="377">
        <f t="shared" ca="1" si="92"/>
        <v>161.44177286140587</v>
      </c>
      <c r="AF217" s="344"/>
      <c r="AG217" s="359">
        <f t="shared" ca="1" si="114"/>
        <v>62.693770564853892</v>
      </c>
      <c r="AH217" s="357">
        <f t="shared" ca="1" si="115"/>
        <v>72.264270770567265</v>
      </c>
    </row>
    <row r="218" spans="1:34" x14ac:dyDescent="0.25">
      <c r="A218" s="402">
        <f t="shared" ca="1" si="93"/>
        <v>0.01</v>
      </c>
      <c r="B218" s="357">
        <f t="shared" ca="1" si="94"/>
        <v>2.1399999999999983</v>
      </c>
      <c r="C218" s="342"/>
      <c r="D218" s="359">
        <f t="shared" ca="1" si="95"/>
        <v>15.849177329362224</v>
      </c>
      <c r="E218" s="360">
        <f t="shared" ca="1" si="96"/>
        <v>60.54884111517157</v>
      </c>
      <c r="F218" s="357">
        <f t="shared" ca="1" si="97"/>
        <v>62.588805567831862</v>
      </c>
      <c r="G218" s="359">
        <f t="shared" ca="1" si="98"/>
        <v>33.514763983995032</v>
      </c>
      <c r="H218" s="360">
        <f t="shared" ca="1" si="99"/>
        <v>148.68312095295349</v>
      </c>
      <c r="I218" s="357">
        <f t="shared" ca="1" si="100"/>
        <v>152.41361442211613</v>
      </c>
      <c r="J218" s="359">
        <f t="shared" ca="1" si="101"/>
        <v>34.410643751437568</v>
      </c>
      <c r="K218" s="360">
        <f t="shared" ca="1" si="102"/>
        <v>162.92557662887964</v>
      </c>
      <c r="L218" s="357">
        <f t="shared" ca="1" si="87"/>
        <v>166.51977637278185</v>
      </c>
      <c r="M218" s="359">
        <f t="shared" ca="1" si="103"/>
        <v>1.3490910239595431</v>
      </c>
      <c r="N218" s="357">
        <f t="shared" ca="1" si="104"/>
        <v>77.297221851864435</v>
      </c>
      <c r="O218" s="343"/>
      <c r="P218" s="363">
        <f t="shared" ca="1" si="105"/>
        <v>8</v>
      </c>
      <c r="Q218" s="357">
        <f t="shared" ca="1" si="106"/>
        <v>889.16944444444459</v>
      </c>
      <c r="R218" s="359">
        <f t="shared" ca="1" si="107"/>
        <v>0.44541366011102751</v>
      </c>
      <c r="S218" s="360">
        <f t="shared" ca="1" si="108"/>
        <v>11.44941671352599</v>
      </c>
      <c r="T218" s="357">
        <f t="shared" ca="1" si="88"/>
        <v>112.31877795968997</v>
      </c>
      <c r="U218" s="364">
        <f t="shared" ca="1" si="89"/>
        <v>0</v>
      </c>
      <c r="V218" s="359">
        <f t="shared" ca="1" si="90"/>
        <v>1.2052028896439793</v>
      </c>
      <c r="W218" s="357">
        <f t="shared" ca="1" si="91"/>
        <v>63.930460332701671</v>
      </c>
      <c r="X218" s="343"/>
      <c r="Y218" s="367" t="str">
        <f t="shared" ca="1" si="109"/>
        <v/>
      </c>
      <c r="Z218" s="368" t="str">
        <f t="shared" ca="1" si="110"/>
        <v/>
      </c>
      <c r="AA218" s="369" t="str">
        <f t="shared" ca="1" si="111"/>
        <v/>
      </c>
      <c r="AB218" s="344"/>
      <c r="AC218" s="363" t="e">
        <f t="shared" ca="1" si="112"/>
        <v>#N/A</v>
      </c>
      <c r="AD218" s="376" t="e">
        <f t="shared" ca="1" si="113"/>
        <v>#N/A</v>
      </c>
      <c r="AE218" s="377">
        <f t="shared" ca="1" si="92"/>
        <v>162.92557662887964</v>
      </c>
      <c r="AF218" s="344"/>
      <c r="AG218" s="359">
        <f t="shared" ca="1" si="114"/>
        <v>62.551667456544187</v>
      </c>
      <c r="AH218" s="357">
        <f t="shared" ca="1" si="115"/>
        <v>72.1218617694214</v>
      </c>
    </row>
    <row r="219" spans="1:34" x14ac:dyDescent="0.25">
      <c r="A219" s="402">
        <f t="shared" ca="1" si="93"/>
        <v>0.01</v>
      </c>
      <c r="B219" s="357">
        <f t="shared" ca="1" si="94"/>
        <v>2.1499999999999981</v>
      </c>
      <c r="C219" s="342"/>
      <c r="D219" s="359">
        <f t="shared" ca="1" si="95"/>
        <v>15.827764887052281</v>
      </c>
      <c r="E219" s="360">
        <f t="shared" ca="1" si="96"/>
        <v>60.407456469045457</v>
      </c>
      <c r="F219" s="357">
        <f t="shared" ca="1" si="97"/>
        <v>62.446608701989788</v>
      </c>
      <c r="G219" s="359">
        <f t="shared" ca="1" si="98"/>
        <v>33.673041632865555</v>
      </c>
      <c r="H219" s="360">
        <f t="shared" ca="1" si="99"/>
        <v>149.28719551764394</v>
      </c>
      <c r="I219" s="357">
        <f t="shared" ca="1" si="100"/>
        <v>153.03770933443803</v>
      </c>
      <c r="J219" s="359">
        <f t="shared" ca="1" si="101"/>
        <v>34.746582779521873</v>
      </c>
      <c r="K219" s="360">
        <f t="shared" ca="1" si="102"/>
        <v>164.41542821123264</v>
      </c>
      <c r="L219" s="357">
        <f t="shared" ca="1" si="87"/>
        <v>168.04689241023519</v>
      </c>
      <c r="M219" s="359">
        <f t="shared" ca="1" si="103"/>
        <v>1.3489500681580646</v>
      </c>
      <c r="N219" s="357">
        <f t="shared" ca="1" si="104"/>
        <v>77.289145679341843</v>
      </c>
      <c r="O219" s="343"/>
      <c r="P219" s="363">
        <f t="shared" ca="1" si="105"/>
        <v>8</v>
      </c>
      <c r="Q219" s="357">
        <f t="shared" ca="1" si="106"/>
        <v>887.73055555555584</v>
      </c>
      <c r="R219" s="359">
        <f t="shared" ca="1" si="107"/>
        <v>0.44469287424676124</v>
      </c>
      <c r="S219" s="360">
        <f t="shared" ca="1" si="108"/>
        <v>11.444969784783522</v>
      </c>
      <c r="T219" s="357">
        <f t="shared" ca="1" si="88"/>
        <v>112.27515358872635</v>
      </c>
      <c r="U219" s="364">
        <f t="shared" ca="1" si="89"/>
        <v>0</v>
      </c>
      <c r="V219" s="359">
        <f t="shared" ca="1" si="90"/>
        <v>1.2050233336517184</v>
      </c>
      <c r="W219" s="357">
        <f t="shared" ca="1" si="91"/>
        <v>64.445487359234747</v>
      </c>
      <c r="X219" s="343"/>
      <c r="Y219" s="367" t="str">
        <f t="shared" ca="1" si="109"/>
        <v/>
      </c>
      <c r="Z219" s="368" t="str">
        <f t="shared" ca="1" si="110"/>
        <v/>
      </c>
      <c r="AA219" s="369" t="str">
        <f t="shared" ca="1" si="111"/>
        <v/>
      </c>
      <c r="AB219" s="344"/>
      <c r="AC219" s="363" t="e">
        <f t="shared" ca="1" si="112"/>
        <v>#N/A</v>
      </c>
      <c r="AD219" s="376" t="e">
        <f t="shared" ca="1" si="113"/>
        <v>#N/A</v>
      </c>
      <c r="AE219" s="377">
        <f t="shared" ca="1" si="92"/>
        <v>164.41542821123264</v>
      </c>
      <c r="AF219" s="344"/>
      <c r="AG219" s="359">
        <f t="shared" ca="1" si="114"/>
        <v>62.409339200414806</v>
      </c>
      <c r="AH219" s="357">
        <f t="shared" ca="1" si="115"/>
        <v>71.979228491989957</v>
      </c>
    </row>
    <row r="220" spans="1:34" x14ac:dyDescent="0.25">
      <c r="A220" s="402">
        <f t="shared" ca="1" si="93"/>
        <v>0.01</v>
      </c>
      <c r="B220" s="357">
        <f t="shared" ca="1" si="94"/>
        <v>2.1599999999999979</v>
      </c>
      <c r="C220" s="342"/>
      <c r="D220" s="359">
        <f t="shared" ca="1" si="95"/>
        <v>15.806229540309829</v>
      </c>
      <c r="E220" s="360">
        <f t="shared" ca="1" si="96"/>
        <v>60.265869756829716</v>
      </c>
      <c r="F220" s="357">
        <f t="shared" ca="1" si="97"/>
        <v>62.304188862612804</v>
      </c>
      <c r="G220" s="359">
        <f t="shared" ca="1" si="98"/>
        <v>33.831103928268654</v>
      </c>
      <c r="H220" s="360">
        <f t="shared" ca="1" si="99"/>
        <v>149.88985421521224</v>
      </c>
      <c r="I220" s="357">
        <f t="shared" ca="1" si="100"/>
        <v>153.66037872419452</v>
      </c>
      <c r="J220" s="359">
        <f t="shared" ca="1" si="101"/>
        <v>35.084103507327541</v>
      </c>
      <c r="K220" s="360">
        <f t="shared" ca="1" si="102"/>
        <v>165.91131345989692</v>
      </c>
      <c r="L220" s="357">
        <f t="shared" ca="1" si="87"/>
        <v>169.58024133990682</v>
      </c>
      <c r="M220" s="359">
        <f t="shared" ca="1" si="103"/>
        <v>1.348809595758776</v>
      </c>
      <c r="N220" s="357">
        <f t="shared" ca="1" si="104"/>
        <v>77.281097203724528</v>
      </c>
      <c r="O220" s="343"/>
      <c r="P220" s="363">
        <f t="shared" ca="1" si="105"/>
        <v>8</v>
      </c>
      <c r="Q220" s="357">
        <f t="shared" ca="1" si="106"/>
        <v>886.29166666666697</v>
      </c>
      <c r="R220" s="359">
        <f t="shared" ca="1" si="107"/>
        <v>0.44397208838249497</v>
      </c>
      <c r="S220" s="360">
        <f t="shared" ca="1" si="108"/>
        <v>11.440530063899697</v>
      </c>
      <c r="T220" s="357">
        <f t="shared" ca="1" si="88"/>
        <v>112.23159992685603</v>
      </c>
      <c r="U220" s="364">
        <f t="shared" ca="1" si="89"/>
        <v>0</v>
      </c>
      <c r="V220" s="359">
        <f t="shared" ca="1" si="90"/>
        <v>1.2048430771781966</v>
      </c>
      <c r="W220" s="357">
        <f t="shared" ca="1" si="91"/>
        <v>64.961258182127551</v>
      </c>
      <c r="X220" s="343"/>
      <c r="Y220" s="367" t="str">
        <f t="shared" ca="1" si="109"/>
        <v/>
      </c>
      <c r="Z220" s="368" t="str">
        <f t="shared" ca="1" si="110"/>
        <v/>
      </c>
      <c r="AA220" s="369" t="str">
        <f t="shared" ca="1" si="111"/>
        <v/>
      </c>
      <c r="AB220" s="344"/>
      <c r="AC220" s="363" t="e">
        <f t="shared" ca="1" si="112"/>
        <v>#N/A</v>
      </c>
      <c r="AD220" s="376" t="e">
        <f t="shared" ca="1" si="113"/>
        <v>#N/A</v>
      </c>
      <c r="AE220" s="377">
        <f t="shared" ca="1" si="92"/>
        <v>165.91131345989692</v>
      </c>
      <c r="AF220" s="344"/>
      <c r="AG220" s="359">
        <f t="shared" ca="1" si="114"/>
        <v>62.266787370515345</v>
      </c>
      <c r="AH220" s="357">
        <f t="shared" ca="1" si="115"/>
        <v>71.83637250346878</v>
      </c>
    </row>
    <row r="221" spans="1:34" x14ac:dyDescent="0.25">
      <c r="A221" s="402">
        <f t="shared" ca="1" si="93"/>
        <v>0.01</v>
      </c>
      <c r="B221" s="357">
        <f t="shared" ca="1" si="94"/>
        <v>2.1699999999999977</v>
      </c>
      <c r="C221" s="342"/>
      <c r="D221" s="359">
        <f t="shared" ca="1" si="95"/>
        <v>15.784572098302485</v>
      </c>
      <c r="E221" s="360">
        <f t="shared" ca="1" si="96"/>
        <v>60.124082425466625</v>
      </c>
      <c r="F221" s="357">
        <f t="shared" ca="1" si="97"/>
        <v>62.16154763059567</v>
      </c>
      <c r="G221" s="359">
        <f t="shared" ca="1" si="98"/>
        <v>33.98894964925168</v>
      </c>
      <c r="H221" s="360">
        <f t="shared" ca="1" si="99"/>
        <v>150.4910950394669</v>
      </c>
      <c r="I221" s="357">
        <f t="shared" ca="1" si="100"/>
        <v>154.28162037144031</v>
      </c>
      <c r="J221" s="359">
        <f t="shared" ca="1" si="101"/>
        <v>35.423203775215143</v>
      </c>
      <c r="K221" s="360">
        <f t="shared" ca="1" si="102"/>
        <v>167.41321820617031</v>
      </c>
      <c r="L221" s="357">
        <f t="shared" ca="1" si="87"/>
        <v>171.11980889379001</v>
      </c>
      <c r="M221" s="359">
        <f t="shared" ca="1" si="103"/>
        <v>1.3486696018668567</v>
      </c>
      <c r="N221" s="357">
        <f t="shared" ca="1" si="104"/>
        <v>77.273076144559937</v>
      </c>
      <c r="O221" s="343"/>
      <c r="P221" s="363">
        <f t="shared" ca="1" si="105"/>
        <v>8</v>
      </c>
      <c r="Q221" s="357">
        <f t="shared" ca="1" si="106"/>
        <v>884.8527777777781</v>
      </c>
      <c r="R221" s="359">
        <f t="shared" ca="1" si="107"/>
        <v>0.44325130251822864</v>
      </c>
      <c r="S221" s="360">
        <f t="shared" ca="1" si="108"/>
        <v>11.436097550874514</v>
      </c>
      <c r="T221" s="357">
        <f t="shared" ca="1" si="88"/>
        <v>112.18811697407899</v>
      </c>
      <c r="U221" s="364">
        <f t="shared" ca="1" si="89"/>
        <v>0</v>
      </c>
      <c r="V221" s="359">
        <f t="shared" ca="1" si="90"/>
        <v>1.2046621222480414</v>
      </c>
      <c r="W221" s="357">
        <f t="shared" ca="1" si="91"/>
        <v>65.477755039405025</v>
      </c>
      <c r="X221" s="343"/>
      <c r="Y221" s="367" t="str">
        <f t="shared" ca="1" si="109"/>
        <v/>
      </c>
      <c r="Z221" s="368" t="str">
        <f t="shared" ca="1" si="110"/>
        <v/>
      </c>
      <c r="AA221" s="369" t="str">
        <f t="shared" ca="1" si="111"/>
        <v/>
      </c>
      <c r="AB221" s="344"/>
      <c r="AC221" s="363" t="e">
        <f t="shared" ca="1" si="112"/>
        <v>#N/A</v>
      </c>
      <c r="AD221" s="376" t="e">
        <f t="shared" ca="1" si="113"/>
        <v>#N/A</v>
      </c>
      <c r="AE221" s="377">
        <f t="shared" ca="1" si="92"/>
        <v>167.41321820617031</v>
      </c>
      <c r="AF221" s="344"/>
      <c r="AG221" s="359">
        <f t="shared" ca="1" si="114"/>
        <v>62.124013541783995</v>
      </c>
      <c r="AH221" s="357">
        <f t="shared" ca="1" si="115"/>
        <v>71.693295370058621</v>
      </c>
    </row>
    <row r="222" spans="1:34" x14ac:dyDescent="0.25">
      <c r="A222" s="402">
        <f t="shared" ca="1" si="93"/>
        <v>0.01</v>
      </c>
      <c r="B222" s="357">
        <f t="shared" ca="1" si="94"/>
        <v>2.1799999999999975</v>
      </c>
      <c r="C222" s="342"/>
      <c r="D222" s="359">
        <f t="shared" ca="1" si="95"/>
        <v>15.762793364282279</v>
      </c>
      <c r="E222" s="360">
        <f t="shared" ca="1" si="96"/>
        <v>59.982095923855951</v>
      </c>
      <c r="F222" s="357">
        <f t="shared" ca="1" si="97"/>
        <v>62.018686587702888</v>
      </c>
      <c r="G222" s="359">
        <f t="shared" ca="1" si="98"/>
        <v>34.146577582894501</v>
      </c>
      <c r="H222" s="360">
        <f t="shared" ca="1" si="99"/>
        <v>151.09091599870547</v>
      </c>
      <c r="I222" s="357">
        <f t="shared" ca="1" si="100"/>
        <v>154.90143207198733</v>
      </c>
      <c r="J222" s="359">
        <f t="shared" ca="1" si="101"/>
        <v>35.763881411375877</v>
      </c>
      <c r="K222" s="360">
        <f t="shared" ca="1" si="102"/>
        <v>168.92112826136116</v>
      </c>
      <c r="L222" s="357">
        <f t="shared" ca="1" si="87"/>
        <v>172.66558078174754</v>
      </c>
      <c r="M222" s="359">
        <f t="shared" ca="1" si="103"/>
        <v>1.3485300816545756</v>
      </c>
      <c r="N222" s="357">
        <f t="shared" ca="1" si="104"/>
        <v>77.265082225239468</v>
      </c>
      <c r="O222" s="343"/>
      <c r="P222" s="363">
        <f t="shared" ca="1" si="105"/>
        <v>8</v>
      </c>
      <c r="Q222" s="357">
        <f t="shared" ca="1" si="106"/>
        <v>883.41388888888923</v>
      </c>
      <c r="R222" s="359">
        <f t="shared" ca="1" si="107"/>
        <v>0.44253051665396231</v>
      </c>
      <c r="S222" s="360">
        <f t="shared" ca="1" si="108"/>
        <v>11.431672245707974</v>
      </c>
      <c r="T222" s="357">
        <f t="shared" ca="1" si="88"/>
        <v>112.14470473039523</v>
      </c>
      <c r="U222" s="364">
        <f t="shared" ca="1" si="89"/>
        <v>0</v>
      </c>
      <c r="V222" s="359">
        <f t="shared" ca="1" si="90"/>
        <v>1.2044804708884294</v>
      </c>
      <c r="W222" s="357">
        <f t="shared" ca="1" si="91"/>
        <v>65.994960196163248</v>
      </c>
      <c r="X222" s="343"/>
      <c r="Y222" s="367" t="str">
        <f t="shared" ca="1" si="109"/>
        <v/>
      </c>
      <c r="Z222" s="368" t="str">
        <f t="shared" ca="1" si="110"/>
        <v/>
      </c>
      <c r="AA222" s="369" t="str">
        <f t="shared" ca="1" si="111"/>
        <v/>
      </c>
      <c r="AB222" s="344"/>
      <c r="AC222" s="363" t="e">
        <f t="shared" ca="1" si="112"/>
        <v>#N/A</v>
      </c>
      <c r="AD222" s="376" t="e">
        <f t="shared" ca="1" si="113"/>
        <v>#N/A</v>
      </c>
      <c r="AE222" s="377">
        <f t="shared" ca="1" si="92"/>
        <v>168.92112826136116</v>
      </c>
      <c r="AF222" s="344"/>
      <c r="AG222" s="359">
        <f t="shared" ca="1" si="114"/>
        <v>61.981019289992716</v>
      </c>
      <c r="AH222" s="357">
        <f t="shared" ca="1" si="115"/>
        <v>71.549998658908251</v>
      </c>
    </row>
    <row r="223" spans="1:34" x14ac:dyDescent="0.25">
      <c r="A223" s="402">
        <f t="shared" ca="1" si="93"/>
        <v>0.01</v>
      </c>
      <c r="B223" s="357">
        <f t="shared" ca="1" si="94"/>
        <v>2.1899999999999973</v>
      </c>
      <c r="C223" s="342"/>
      <c r="D223" s="359">
        <f t="shared" ca="1" si="95"/>
        <v>15.740894135694386</v>
      </c>
      <c r="E223" s="360">
        <f t="shared" ca="1" si="96"/>
        <v>59.839911702779645</v>
      </c>
      <c r="F223" s="357">
        <f t="shared" ca="1" si="97"/>
        <v>61.875607316515307</v>
      </c>
      <c r="G223" s="359">
        <f t="shared" ca="1" si="98"/>
        <v>34.303986524251442</v>
      </c>
      <c r="H223" s="360">
        <f t="shared" ca="1" si="99"/>
        <v>151.68931511573328</v>
      </c>
      <c r="I223" s="357">
        <f t="shared" ca="1" si="100"/>
        <v>155.51981163741246</v>
      </c>
      <c r="J223" s="359">
        <f t="shared" ca="1" si="101"/>
        <v>36.106134231911604</v>
      </c>
      <c r="K223" s="360">
        <f t="shared" ca="1" si="102"/>
        <v>170.43502941693336</v>
      </c>
      <c r="L223" s="357">
        <f t="shared" ca="1" si="87"/>
        <v>174.21754269166971</v>
      </c>
      <c r="M223" s="359">
        <f t="shared" ca="1" si="103"/>
        <v>1.348391030360035</v>
      </c>
      <c r="N223" s="357">
        <f t="shared" ca="1" si="104"/>
        <v>77.257115172926461</v>
      </c>
      <c r="O223" s="343"/>
      <c r="P223" s="363">
        <f t="shared" ca="1" si="105"/>
        <v>8</v>
      </c>
      <c r="Q223" s="357">
        <f t="shared" ca="1" si="106"/>
        <v>881.97500000000036</v>
      </c>
      <c r="R223" s="359">
        <f t="shared" ca="1" si="107"/>
        <v>0.44180973078969604</v>
      </c>
      <c r="S223" s="360">
        <f t="shared" ca="1" si="108"/>
        <v>11.427254148400078</v>
      </c>
      <c r="T223" s="357">
        <f t="shared" ca="1" si="88"/>
        <v>112.10136319580477</v>
      </c>
      <c r="U223" s="364">
        <f t="shared" ca="1" si="89"/>
        <v>0</v>
      </c>
      <c r="V223" s="359">
        <f t="shared" ca="1" si="90"/>
        <v>1.2042981251290565</v>
      </c>
      <c r="W223" s="357">
        <f t="shared" ca="1" si="91"/>
        <v>66.512855945121018</v>
      </c>
      <c r="X223" s="343"/>
      <c r="Y223" s="367" t="str">
        <f t="shared" ca="1" si="109"/>
        <v/>
      </c>
      <c r="Z223" s="368" t="str">
        <f t="shared" ca="1" si="110"/>
        <v/>
      </c>
      <c r="AA223" s="369" t="str">
        <f t="shared" ca="1" si="111"/>
        <v/>
      </c>
      <c r="AB223" s="344"/>
      <c r="AC223" s="363" t="e">
        <f t="shared" ca="1" si="112"/>
        <v>#N/A</v>
      </c>
      <c r="AD223" s="376" t="e">
        <f t="shared" ca="1" si="113"/>
        <v>#N/A</v>
      </c>
      <c r="AE223" s="377">
        <f t="shared" ca="1" si="92"/>
        <v>170.43502941693336</v>
      </c>
      <c r="AF223" s="344"/>
      <c r="AG223" s="359">
        <f t="shared" ca="1" si="114"/>
        <v>61.837806191692991</v>
      </c>
      <c r="AH223" s="357">
        <f t="shared" ca="1" si="115"/>
        <v>71.406483938058031</v>
      </c>
    </row>
    <row r="224" spans="1:34" x14ac:dyDescent="0.25">
      <c r="A224" s="402">
        <f t="shared" ca="1" si="93"/>
        <v>0.01</v>
      </c>
      <c r="B224" s="357">
        <f t="shared" ca="1" si="94"/>
        <v>2.1999999999999971</v>
      </c>
      <c r="C224" s="342"/>
      <c r="D224" s="359">
        <f t="shared" ca="1" si="95"/>
        <v>15.71887520428322</v>
      </c>
      <c r="E224" s="360">
        <f t="shared" ca="1" si="96"/>
        <v>59.697531214826739</v>
      </c>
      <c r="F224" s="357">
        <f t="shared" ca="1" si="97"/>
        <v>61.732311400376403</v>
      </c>
      <c r="G224" s="359">
        <f t="shared" ca="1" si="98"/>
        <v>34.461175276294277</v>
      </c>
      <c r="H224" s="360">
        <f t="shared" ca="1" si="99"/>
        <v>152.28629042788154</v>
      </c>
      <c r="I224" s="357">
        <f t="shared" ca="1" si="100"/>
        <v>156.13675689506479</v>
      </c>
      <c r="J224" s="359">
        <f t="shared" ca="1" si="101"/>
        <v>36.449960040914334</v>
      </c>
      <c r="K224" s="360">
        <f t="shared" ca="1" si="102"/>
        <v>171.95490744465144</v>
      </c>
      <c r="L224" s="357">
        <f t="shared" ca="1" si="87"/>
        <v>175.77568028963191</v>
      </c>
      <c r="M224" s="359">
        <f t="shared" ca="1" si="103"/>
        <v>1.3482524432859475</v>
      </c>
      <c r="N224" s="357">
        <f t="shared" ca="1" si="104"/>
        <v>77.249174718486174</v>
      </c>
      <c r="O224" s="343"/>
      <c r="P224" s="363">
        <f t="shared" ca="1" si="105"/>
        <v>8</v>
      </c>
      <c r="Q224" s="357">
        <f t="shared" ca="1" si="106"/>
        <v>880.5361111111115</v>
      </c>
      <c r="R224" s="359">
        <f t="shared" ca="1" si="107"/>
        <v>0.44108894492542972</v>
      </c>
      <c r="S224" s="360">
        <f t="shared" ca="1" si="108"/>
        <v>11.422843258950824</v>
      </c>
      <c r="T224" s="357">
        <f t="shared" ca="1" si="88"/>
        <v>112.05809237030759</v>
      </c>
      <c r="U224" s="364">
        <f t="shared" ca="1" si="89"/>
        <v>0</v>
      </c>
      <c r="V224" s="359">
        <f t="shared" ca="1" si="90"/>
        <v>1.2041150870021073</v>
      </c>
      <c r="W224" s="357">
        <f t="shared" ca="1" si="91"/>
        <v>67.031424607168148</v>
      </c>
      <c r="X224" s="343"/>
      <c r="Y224" s="367" t="str">
        <f t="shared" ca="1" si="109"/>
        <v/>
      </c>
      <c r="Z224" s="368" t="str">
        <f t="shared" ca="1" si="110"/>
        <v/>
      </c>
      <c r="AA224" s="369" t="str">
        <f t="shared" ca="1" si="111"/>
        <v/>
      </c>
      <c r="AB224" s="344"/>
      <c r="AC224" s="363" t="e">
        <f t="shared" ca="1" si="112"/>
        <v>#N/A</v>
      </c>
      <c r="AD224" s="376" t="e">
        <f t="shared" ca="1" si="113"/>
        <v>#N/A</v>
      </c>
      <c r="AE224" s="377">
        <f t="shared" ca="1" si="92"/>
        <v>171.95490744465144</v>
      </c>
      <c r="AF224" s="344"/>
      <c r="AG224" s="359">
        <f t="shared" ca="1" si="114"/>
        <v>61.694375824161298</v>
      </c>
      <c r="AH224" s="357">
        <f t="shared" ca="1" si="115"/>
        <v>71.262752776383422</v>
      </c>
    </row>
    <row r="225" spans="1:34" x14ac:dyDescent="0.25">
      <c r="A225" s="402">
        <f t="shared" ca="1" si="93"/>
        <v>0.01</v>
      </c>
      <c r="B225" s="357">
        <f t="shared" ca="1" si="94"/>
        <v>2.2099999999999969</v>
      </c>
      <c r="C225" s="342"/>
      <c r="D225" s="359">
        <f t="shared" ca="1" si="95"/>
        <v>15.696737356195552</v>
      </c>
      <c r="E225" s="360">
        <f t="shared" ca="1" si="96"/>
        <v>59.554955914318995</v>
      </c>
      <c r="F225" s="357">
        <f t="shared" ca="1" si="97"/>
        <v>61.588800423338853</v>
      </c>
      <c r="G225" s="359">
        <f t="shared" ca="1" si="98"/>
        <v>34.618142649856232</v>
      </c>
      <c r="H225" s="360">
        <f t="shared" ca="1" si="99"/>
        <v>152.88183998702473</v>
      </c>
      <c r="I225" s="357">
        <f t="shared" ca="1" si="100"/>
        <v>156.75226568807238</v>
      </c>
      <c r="J225" s="359">
        <f t="shared" ca="1" si="101"/>
        <v>36.795356630545086</v>
      </c>
      <c r="K225" s="360">
        <f t="shared" ca="1" si="102"/>
        <v>173.48074809672596</v>
      </c>
      <c r="L225" s="357">
        <f t="shared" ca="1" si="87"/>
        <v>177.33997922005261</v>
      </c>
      <c r="M225" s="359">
        <f t="shared" ca="1" si="103"/>
        <v>1.3481143157984377</v>
      </c>
      <c r="N225" s="357">
        <f t="shared" ca="1" si="104"/>
        <v>77.241260596417121</v>
      </c>
      <c r="O225" s="343"/>
      <c r="P225" s="363">
        <f t="shared" ca="1" si="105"/>
        <v>8</v>
      </c>
      <c r="Q225" s="357">
        <f t="shared" ca="1" si="106"/>
        <v>879.09722222222263</v>
      </c>
      <c r="R225" s="359">
        <f t="shared" ca="1" si="107"/>
        <v>0.44036815906116339</v>
      </c>
      <c r="S225" s="360">
        <f t="shared" ca="1" si="108"/>
        <v>11.418439577360212</v>
      </c>
      <c r="T225" s="357">
        <f t="shared" ca="1" si="88"/>
        <v>112.01489225390368</v>
      </c>
      <c r="U225" s="364">
        <f t="shared" ca="1" si="89"/>
        <v>0</v>
      </c>
      <c r="V225" s="359">
        <f t="shared" ca="1" si="90"/>
        <v>1.2039313585422251</v>
      </c>
      <c r="W225" s="357">
        <f t="shared" ca="1" si="91"/>
        <v>67.550648531910824</v>
      </c>
      <c r="X225" s="343"/>
      <c r="Y225" s="367" t="str">
        <f t="shared" ca="1" si="109"/>
        <v/>
      </c>
      <c r="Z225" s="368" t="str">
        <f t="shared" ca="1" si="110"/>
        <v/>
      </c>
      <c r="AA225" s="369" t="str">
        <f t="shared" ca="1" si="111"/>
        <v/>
      </c>
      <c r="AB225" s="344"/>
      <c r="AC225" s="363" t="e">
        <f t="shared" ca="1" si="112"/>
        <v>#N/A</v>
      </c>
      <c r="AD225" s="376" t="e">
        <f t="shared" ca="1" si="113"/>
        <v>#N/A</v>
      </c>
      <c r="AE225" s="377">
        <f t="shared" ca="1" si="92"/>
        <v>173.48074809672596</v>
      </c>
      <c r="AF225" s="344"/>
      <c r="AG225" s="359">
        <f t="shared" ca="1" si="114"/>
        <v>61.55072976534484</v>
      </c>
      <c r="AH225" s="357">
        <f t="shared" ca="1" si="115"/>
        <v>71.118806743538684</v>
      </c>
    </row>
    <row r="226" spans="1:34" x14ac:dyDescent="0.25">
      <c r="A226" s="402">
        <f t="shared" ca="1" si="93"/>
        <v>0.01</v>
      </c>
      <c r="B226" s="357">
        <f t="shared" ca="1" si="94"/>
        <v>2.2199999999999966</v>
      </c>
      <c r="C226" s="342"/>
      <c r="D226" s="359">
        <f t="shared" ca="1" si="95"/>
        <v>15.674481372081047</v>
      </c>
      <c r="E226" s="360">
        <f t="shared" ca="1" si="96"/>
        <v>59.412187257237136</v>
      </c>
      <c r="F226" s="357">
        <f t="shared" ca="1" si="97"/>
        <v>61.445075970111112</v>
      </c>
      <c r="G226" s="359">
        <f t="shared" ca="1" si="98"/>
        <v>34.774887463577045</v>
      </c>
      <c r="H226" s="360">
        <f t="shared" ca="1" si="99"/>
        <v>153.47596185959711</v>
      </c>
      <c r="I226" s="357">
        <f t="shared" ca="1" si="100"/>
        <v>157.36633587534837</v>
      </c>
      <c r="J226" s="359">
        <f t="shared" ca="1" si="101"/>
        <v>37.142321781112251</v>
      </c>
      <c r="K226" s="360">
        <f t="shared" ca="1" si="102"/>
        <v>175.01253710595907</v>
      </c>
      <c r="L226" s="357">
        <f t="shared" ca="1" si="87"/>
        <v>178.91042510585117</v>
      </c>
      <c r="M226" s="359">
        <f t="shared" ca="1" si="103"/>
        <v>1.3479766433258733</v>
      </c>
      <c r="N226" s="357">
        <f t="shared" ca="1" si="104"/>
        <v>77.233372544784046</v>
      </c>
      <c r="O226" s="343"/>
      <c r="P226" s="363">
        <f t="shared" ca="1" si="105"/>
        <v>8</v>
      </c>
      <c r="Q226" s="357">
        <f t="shared" ca="1" si="106"/>
        <v>877.65833333333376</v>
      </c>
      <c r="R226" s="359">
        <f t="shared" ca="1" si="107"/>
        <v>0.43964737319689712</v>
      </c>
      <c r="S226" s="360">
        <f t="shared" ca="1" si="108"/>
        <v>11.414043103628243</v>
      </c>
      <c r="T226" s="357">
        <f t="shared" ca="1" si="88"/>
        <v>111.97176284659307</v>
      </c>
      <c r="U226" s="364">
        <f t="shared" ca="1" si="89"/>
        <v>0</v>
      </c>
      <c r="V226" s="359">
        <f t="shared" ca="1" si="90"/>
        <v>1.2037469417864806</v>
      </c>
      <c r="W226" s="357">
        <f t="shared" ca="1" si="91"/>
        <v>68.070510098213717</v>
      </c>
      <c r="X226" s="343"/>
      <c r="Y226" s="367" t="str">
        <f t="shared" ca="1" si="109"/>
        <v/>
      </c>
      <c r="Z226" s="368" t="str">
        <f t="shared" ca="1" si="110"/>
        <v/>
      </c>
      <c r="AA226" s="369" t="str">
        <f t="shared" ca="1" si="111"/>
        <v/>
      </c>
      <c r="AB226" s="344"/>
      <c r="AC226" s="363" t="e">
        <f t="shared" ca="1" si="112"/>
        <v>#N/A</v>
      </c>
      <c r="AD226" s="376" t="e">
        <f t="shared" ca="1" si="113"/>
        <v>#N/A</v>
      </c>
      <c r="AE226" s="377">
        <f t="shared" ca="1" si="92"/>
        <v>175.01253710595907</v>
      </c>
      <c r="AF226" s="344"/>
      <c r="AG226" s="359">
        <f t="shared" ca="1" si="114"/>
        <v>61.406869593807301</v>
      </c>
      <c r="AH226" s="357">
        <f t="shared" ca="1" si="115"/>
        <v>70.974647409900669</v>
      </c>
    </row>
    <row r="227" spans="1:34" x14ac:dyDescent="0.25">
      <c r="A227" s="402">
        <f t="shared" ca="1" si="93"/>
        <v>0.01</v>
      </c>
      <c r="B227" s="357">
        <f t="shared" ca="1" si="94"/>
        <v>2.2299999999999964</v>
      </c>
      <c r="C227" s="342"/>
      <c r="D227" s="359">
        <f t="shared" ca="1" si="95"/>
        <v>15.652108027190179</v>
      </c>
      <c r="E227" s="360">
        <f t="shared" ca="1" si="96"/>
        <v>59.269226701147574</v>
      </c>
      <c r="F227" s="357">
        <f t="shared" ca="1" si="97"/>
        <v>61.301139626004144</v>
      </c>
      <c r="G227" s="359">
        <f t="shared" ca="1" si="98"/>
        <v>34.931408543848946</v>
      </c>
      <c r="H227" s="360">
        <f t="shared" ca="1" si="99"/>
        <v>154.06865412660858</v>
      </c>
      <c r="I227" s="357">
        <f t="shared" ca="1" si="100"/>
        <v>157.9789653315967</v>
      </c>
      <c r="J227" s="359">
        <f t="shared" ca="1" si="101"/>
        <v>37.490853261149383</v>
      </c>
      <c r="K227" s="360">
        <f t="shared" ca="1" si="102"/>
        <v>176.5502601858901</v>
      </c>
      <c r="L227" s="357">
        <f t="shared" ca="1" si="87"/>
        <v>180.48700354860603</v>
      </c>
      <c r="M227" s="359">
        <f t="shared" ca="1" si="103"/>
        <v>1.3478394213577249</v>
      </c>
      <c r="N227" s="357">
        <f t="shared" ca="1" si="104"/>
        <v>77.225510305152667</v>
      </c>
      <c r="O227" s="343"/>
      <c r="P227" s="363">
        <f t="shared" ca="1" si="105"/>
        <v>8</v>
      </c>
      <c r="Q227" s="357">
        <f t="shared" ca="1" si="106"/>
        <v>876.21944444444489</v>
      </c>
      <c r="R227" s="359">
        <f t="shared" ca="1" si="107"/>
        <v>0.43892658733263079</v>
      </c>
      <c r="S227" s="360">
        <f t="shared" ca="1" si="108"/>
        <v>11.409653837754917</v>
      </c>
      <c r="T227" s="357">
        <f t="shared" ca="1" si="88"/>
        <v>111.92870414837574</v>
      </c>
      <c r="U227" s="364">
        <f t="shared" ca="1" si="89"/>
        <v>0</v>
      </c>
      <c r="V227" s="359">
        <f t="shared" ca="1" si="90"/>
        <v>1.2035618387743434</v>
      </c>
      <c r="W227" s="357">
        <f t="shared" ca="1" si="91"/>
        <v>68.590991714739175</v>
      </c>
      <c r="X227" s="343"/>
      <c r="Y227" s="367" t="str">
        <f t="shared" ca="1" si="109"/>
        <v/>
      </c>
      <c r="Z227" s="368" t="str">
        <f t="shared" ca="1" si="110"/>
        <v/>
      </c>
      <c r="AA227" s="369" t="str">
        <f t="shared" ca="1" si="111"/>
        <v/>
      </c>
      <c r="AB227" s="344"/>
      <c r="AC227" s="363" t="e">
        <f t="shared" ca="1" si="112"/>
        <v>#N/A</v>
      </c>
      <c r="AD227" s="376" t="e">
        <f t="shared" ca="1" si="113"/>
        <v>#N/A</v>
      </c>
      <c r="AE227" s="377">
        <f t="shared" ca="1" si="92"/>
        <v>176.5502601858901</v>
      </c>
      <c r="AF227" s="344"/>
      <c r="AG227" s="359">
        <f t="shared" ca="1" si="114"/>
        <v>61.262796888674693</v>
      </c>
      <c r="AH227" s="357">
        <f t="shared" ca="1" si="115"/>
        <v>70.830276346512804</v>
      </c>
    </row>
    <row r="228" spans="1:34" x14ac:dyDescent="0.25">
      <c r="A228" s="402">
        <f t="shared" ca="1" si="93"/>
        <v>0.01</v>
      </c>
      <c r="B228" s="357">
        <f t="shared" ca="1" si="94"/>
        <v>2.2399999999999962</v>
      </c>
      <c r="C228" s="342"/>
      <c r="D228" s="359">
        <f t="shared" ca="1" si="95"/>
        <v>15.62961809146943</v>
      </c>
      <c r="E228" s="360">
        <f t="shared" ca="1" si="96"/>
        <v>59.126075705129779</v>
      </c>
      <c r="F228" s="357">
        <f t="shared" ca="1" si="97"/>
        <v>61.156992976878172</v>
      </c>
      <c r="G228" s="359">
        <f t="shared" ca="1" si="98"/>
        <v>35.08770472476364</v>
      </c>
      <c r="H228" s="360">
        <f t="shared" ca="1" si="99"/>
        <v>154.65991488365987</v>
      </c>
      <c r="I228" s="357">
        <f t="shared" ca="1" si="100"/>
        <v>158.59015194731705</v>
      </c>
      <c r="J228" s="359">
        <f t="shared" ca="1" si="101"/>
        <v>37.840948827492447</v>
      </c>
      <c r="K228" s="360">
        <f t="shared" ca="1" si="102"/>
        <v>178.09390303094145</v>
      </c>
      <c r="L228" s="357">
        <f t="shared" ca="1" si="87"/>
        <v>182.06970012871244</v>
      </c>
      <c r="M228" s="359">
        <f t="shared" ca="1" si="103"/>
        <v>1.3477026454434478</v>
      </c>
      <c r="N228" s="357">
        <f t="shared" ca="1" si="104"/>
        <v>77.217673622525538</v>
      </c>
      <c r="O228" s="343"/>
      <c r="P228" s="363">
        <f t="shared" ca="1" si="105"/>
        <v>8</v>
      </c>
      <c r="Q228" s="357">
        <f t="shared" ca="1" si="106"/>
        <v>874.78055555555613</v>
      </c>
      <c r="R228" s="359">
        <f t="shared" ca="1" si="107"/>
        <v>0.43820580146836452</v>
      </c>
      <c r="S228" s="360">
        <f t="shared" ca="1" si="108"/>
        <v>11.405271779740232</v>
      </c>
      <c r="T228" s="357">
        <f t="shared" ca="1" si="88"/>
        <v>111.88571615925169</v>
      </c>
      <c r="U228" s="364">
        <f t="shared" ca="1" si="89"/>
        <v>0</v>
      </c>
      <c r="V228" s="359">
        <f t="shared" ca="1" si="90"/>
        <v>1.2033760515476506</v>
      </c>
      <c r="W228" s="357">
        <f t="shared" ca="1" si="91"/>
        <v>69.112075820482943</v>
      </c>
      <c r="X228" s="343"/>
      <c r="Y228" s="367" t="str">
        <f t="shared" ca="1" si="109"/>
        <v/>
      </c>
      <c r="Z228" s="368" t="str">
        <f t="shared" ca="1" si="110"/>
        <v/>
      </c>
      <c r="AA228" s="369" t="str">
        <f t="shared" ca="1" si="111"/>
        <v/>
      </c>
      <c r="AB228" s="344"/>
      <c r="AC228" s="363" t="e">
        <f t="shared" ca="1" si="112"/>
        <v>#N/A</v>
      </c>
      <c r="AD228" s="376" t="e">
        <f t="shared" ca="1" si="113"/>
        <v>#N/A</v>
      </c>
      <c r="AE228" s="377">
        <f t="shared" ca="1" si="92"/>
        <v>178.09390303094145</v>
      </c>
      <c r="AF228" s="344"/>
      <c r="AG228" s="359">
        <f t="shared" ca="1" si="114"/>
        <v>61.118513229581353</v>
      </c>
      <c r="AH228" s="357">
        <f t="shared" ca="1" si="115"/>
        <v>70.68569512502917</v>
      </c>
    </row>
    <row r="229" spans="1:34" x14ac:dyDescent="0.25">
      <c r="A229" s="402">
        <f t="shared" ca="1" si="93"/>
        <v>0.01</v>
      </c>
      <c r="B229" s="357">
        <f t="shared" ca="1" si="94"/>
        <v>2.249999999999996</v>
      </c>
      <c r="C229" s="342"/>
      <c r="D229" s="359">
        <f t="shared" ca="1" si="95"/>
        <v>15.607012329654253</v>
      </c>
      <c r="E229" s="360">
        <f t="shared" ca="1" si="96"/>
        <v>58.982735729704132</v>
      </c>
      <c r="F229" s="357">
        <f t="shared" ca="1" si="97"/>
        <v>61.012637609089616</v>
      </c>
      <c r="G229" s="359">
        <f t="shared" ca="1" si="98"/>
        <v>35.243774848060184</v>
      </c>
      <c r="H229" s="360">
        <f t="shared" ca="1" si="99"/>
        <v>155.24974224095692</v>
      </c>
      <c r="I229" s="357">
        <f t="shared" ca="1" si="100"/>
        <v>159.19989362880969</v>
      </c>
      <c r="J229" s="359">
        <f t="shared" ca="1" si="101"/>
        <v>38.192606225356563</v>
      </c>
      <c r="K229" s="360">
        <f t="shared" ca="1" si="102"/>
        <v>179.64345131656452</v>
      </c>
      <c r="L229" s="357">
        <f t="shared" ca="1" si="87"/>
        <v>183.65850040554079</v>
      </c>
      <c r="M229" s="359">
        <f t="shared" ca="1" si="103"/>
        <v>1.3475663111913929</v>
      </c>
      <c r="N229" s="357">
        <f t="shared" ca="1" si="104"/>
        <v>77.209862245279723</v>
      </c>
      <c r="O229" s="343"/>
      <c r="P229" s="363">
        <f t="shared" ca="1" si="105"/>
        <v>8</v>
      </c>
      <c r="Q229" s="357">
        <f t="shared" ca="1" si="106"/>
        <v>873.34166666666727</v>
      </c>
      <c r="R229" s="359">
        <f t="shared" ca="1" si="107"/>
        <v>0.43748501560409825</v>
      </c>
      <c r="S229" s="360">
        <f t="shared" ca="1" si="108"/>
        <v>11.400896929584192</v>
      </c>
      <c r="T229" s="357">
        <f t="shared" ca="1" si="88"/>
        <v>111.84279887922094</v>
      </c>
      <c r="U229" s="364">
        <f t="shared" ca="1" si="89"/>
        <v>0</v>
      </c>
      <c r="V229" s="359">
        <f t="shared" ca="1" si="90"/>
        <v>1.2031895821505771</v>
      </c>
      <c r="W229" s="357">
        <f t="shared" ca="1" si="91"/>
        <v>69.633744885307124</v>
      </c>
      <c r="X229" s="343"/>
      <c r="Y229" s="367" t="str">
        <f t="shared" ca="1" si="109"/>
        <v/>
      </c>
      <c r="Z229" s="368" t="str">
        <f t="shared" ca="1" si="110"/>
        <v/>
      </c>
      <c r="AA229" s="369" t="str">
        <f t="shared" ca="1" si="111"/>
        <v/>
      </c>
      <c r="AB229" s="344"/>
      <c r="AC229" s="363" t="e">
        <f t="shared" ca="1" si="112"/>
        <v>#N/A</v>
      </c>
      <c r="AD229" s="376" t="e">
        <f t="shared" ca="1" si="113"/>
        <v>#N/A</v>
      </c>
      <c r="AE229" s="377">
        <f t="shared" ca="1" si="92"/>
        <v>179.64345131656452</v>
      </c>
      <c r="AF229" s="344"/>
      <c r="AG229" s="359">
        <f t="shared" ca="1" si="114"/>
        <v>60.974020196615918</v>
      </c>
      <c r="AH229" s="357">
        <f t="shared" ca="1" si="115"/>
        <v>70.540905317658712</v>
      </c>
    </row>
    <row r="230" spans="1:34" x14ac:dyDescent="0.25">
      <c r="A230" s="402">
        <f t="shared" ca="1" si="93"/>
        <v>0.01</v>
      </c>
      <c r="B230" s="357">
        <f t="shared" ca="1" si="94"/>
        <v>2.2599999999999958</v>
      </c>
      <c r="C230" s="342"/>
      <c r="D230" s="359">
        <f t="shared" ca="1" si="95"/>
        <v>15.584291501359395</v>
      </c>
      <c r="E230" s="360">
        <f t="shared" ca="1" si="96"/>
        <v>58.839208236760385</v>
      </c>
      <c r="F230" s="357">
        <f t="shared" ca="1" si="97"/>
        <v>60.868075109438067</v>
      </c>
      <c r="G230" s="359">
        <f t="shared" ca="1" si="98"/>
        <v>35.399617763073778</v>
      </c>
      <c r="H230" s="360">
        <f t="shared" ca="1" si="99"/>
        <v>155.83813432332451</v>
      </c>
      <c r="I230" s="357">
        <f t="shared" ca="1" si="100"/>
        <v>159.80818829817909</v>
      </c>
      <c r="J230" s="359">
        <f t="shared" ca="1" si="101"/>
        <v>38.545823188412236</v>
      </c>
      <c r="K230" s="360">
        <f t="shared" ca="1" si="102"/>
        <v>181.19889069938594</v>
      </c>
      <c r="L230" s="357">
        <f t="shared" ca="1" si="87"/>
        <v>185.2533899175946</v>
      </c>
      <c r="M230" s="359">
        <f t="shared" ca="1" si="103"/>
        <v>1.3474304142677402</v>
      </c>
      <c r="N230" s="357">
        <f t="shared" ca="1" si="104"/>
        <v>77.202075925105618</v>
      </c>
      <c r="O230" s="343"/>
      <c r="P230" s="363">
        <f t="shared" ca="1" si="105"/>
        <v>8</v>
      </c>
      <c r="Q230" s="357">
        <f t="shared" ca="1" si="106"/>
        <v>871.9027777777784</v>
      </c>
      <c r="R230" s="359">
        <f t="shared" ca="1" si="107"/>
        <v>0.43676422973983192</v>
      </c>
      <c r="S230" s="360">
        <f t="shared" ca="1" si="108"/>
        <v>11.396529287286794</v>
      </c>
      <c r="T230" s="357">
        <f t="shared" ca="1" si="88"/>
        <v>111.79995230828347</v>
      </c>
      <c r="U230" s="364">
        <f t="shared" ca="1" si="89"/>
        <v>0</v>
      </c>
      <c r="V230" s="359">
        <f t="shared" ca="1" si="90"/>
        <v>1.2030024326296054</v>
      </c>
      <c r="W230" s="357">
        <f t="shared" ca="1" si="91"/>
        <v>70.155981410469451</v>
      </c>
      <c r="X230" s="343"/>
      <c r="Y230" s="367" t="str">
        <f t="shared" ca="1" si="109"/>
        <v/>
      </c>
      <c r="Z230" s="368" t="str">
        <f t="shared" ca="1" si="110"/>
        <v/>
      </c>
      <c r="AA230" s="369" t="str">
        <f t="shared" ca="1" si="111"/>
        <v/>
      </c>
      <c r="AB230" s="344"/>
      <c r="AC230" s="363" t="e">
        <f t="shared" ca="1" si="112"/>
        <v>#N/A</v>
      </c>
      <c r="AD230" s="376" t="e">
        <f t="shared" ca="1" si="113"/>
        <v>#N/A</v>
      </c>
      <c r="AE230" s="377">
        <f t="shared" ca="1" si="92"/>
        <v>181.19889069938594</v>
      </c>
      <c r="AF230" s="344"/>
      <c r="AG230" s="359">
        <f t="shared" ca="1" si="114"/>
        <v>60.829319370267541</v>
      </c>
      <c r="AH230" s="357">
        <f t="shared" ca="1" si="115"/>
        <v>70.39590849710963</v>
      </c>
    </row>
    <row r="231" spans="1:34" x14ac:dyDescent="0.25">
      <c r="A231" s="402">
        <f t="shared" ca="1" si="93"/>
        <v>0.01</v>
      </c>
      <c r="B231" s="357">
        <f t="shared" ca="1" si="94"/>
        <v>2.2699999999999956</v>
      </c>
      <c r="C231" s="342"/>
      <c r="D231" s="359">
        <f t="shared" ca="1" si="95"/>
        <v>15.561456361167082</v>
      </c>
      <c r="E231" s="360">
        <f t="shared" ca="1" si="96"/>
        <v>58.695494689486679</v>
      </c>
      <c r="F231" s="357">
        <f t="shared" ca="1" si="97"/>
        <v>60.723307065113524</v>
      </c>
      <c r="G231" s="359">
        <f t="shared" ca="1" si="98"/>
        <v>35.555232326685449</v>
      </c>
      <c r="H231" s="360">
        <f t="shared" ca="1" si="99"/>
        <v>156.42508927021939</v>
      </c>
      <c r="I231" s="357">
        <f t="shared" ca="1" si="100"/>
        <v>160.41503389333769</v>
      </c>
      <c r="J231" s="359">
        <f t="shared" ca="1" si="101"/>
        <v>38.900597438861034</v>
      </c>
      <c r="K231" s="360">
        <f t="shared" ca="1" si="102"/>
        <v>182.76020681735366</v>
      </c>
      <c r="L231" s="357">
        <f t="shared" ca="1" si="87"/>
        <v>186.85435418266871</v>
      </c>
      <c r="M231" s="359">
        <f t="shared" ca="1" si="103"/>
        <v>1.3472949503954572</v>
      </c>
      <c r="N231" s="357">
        <f t="shared" ca="1" si="104"/>
        <v>77.194314416947307</v>
      </c>
      <c r="O231" s="343"/>
      <c r="P231" s="363">
        <f t="shared" ca="1" si="105"/>
        <v>8</v>
      </c>
      <c r="Q231" s="357">
        <f t="shared" ca="1" si="106"/>
        <v>870.46388888888953</v>
      </c>
      <c r="R231" s="359">
        <f t="shared" ca="1" si="107"/>
        <v>0.43604344387556565</v>
      </c>
      <c r="S231" s="360">
        <f t="shared" ca="1" si="108"/>
        <v>11.392168852848039</v>
      </c>
      <c r="T231" s="357">
        <f t="shared" ca="1" si="88"/>
        <v>111.75717644643927</v>
      </c>
      <c r="U231" s="364">
        <f t="shared" ca="1" si="89"/>
        <v>0</v>
      </c>
      <c r="V231" s="359">
        <f t="shared" ca="1" si="90"/>
        <v>1.2028146050334942</v>
      </c>
      <c r="W231" s="357">
        <f t="shared" ca="1" si="91"/>
        <v>70.678767929149657</v>
      </c>
      <c r="X231" s="343"/>
      <c r="Y231" s="367" t="str">
        <f t="shared" ca="1" si="109"/>
        <v/>
      </c>
      <c r="Z231" s="368" t="str">
        <f t="shared" ca="1" si="110"/>
        <v/>
      </c>
      <c r="AA231" s="369" t="str">
        <f t="shared" ca="1" si="111"/>
        <v/>
      </c>
      <c r="AB231" s="344"/>
      <c r="AC231" s="363" t="e">
        <f t="shared" ca="1" si="112"/>
        <v>#N/A</v>
      </c>
      <c r="AD231" s="376" t="e">
        <f t="shared" ca="1" si="113"/>
        <v>#N/A</v>
      </c>
      <c r="AE231" s="377">
        <f t="shared" ca="1" si="92"/>
        <v>182.76020681735366</v>
      </c>
      <c r="AF231" s="344"/>
      <c r="AG231" s="359">
        <f t="shared" ca="1" si="114"/>
        <v>60.684412331372229</v>
      </c>
      <c r="AH231" s="357">
        <f t="shared" ca="1" si="115"/>
        <v>70.250706236533986</v>
      </c>
    </row>
    <row r="232" spans="1:34" x14ac:dyDescent="0.25">
      <c r="A232" s="402">
        <f t="shared" ca="1" si="93"/>
        <v>0.01</v>
      </c>
      <c r="B232" s="357">
        <f t="shared" ca="1" si="94"/>
        <v>2.2799999999999954</v>
      </c>
      <c r="C232" s="342"/>
      <c r="D232" s="359">
        <f t="shared" ca="1" si="95"/>
        <v>15.538507658712755</v>
      </c>
      <c r="E232" s="360">
        <f t="shared" ca="1" si="96"/>
        <v>58.551596552299003</v>
      </c>
      <c r="F232" s="357">
        <f t="shared" ca="1" si="97"/>
        <v>60.578335063643564</v>
      </c>
      <c r="G232" s="359">
        <f t="shared" ca="1" si="98"/>
        <v>35.710617403272579</v>
      </c>
      <c r="H232" s="360">
        <f t="shared" ca="1" si="99"/>
        <v>157.01060523574239</v>
      </c>
      <c r="I232" s="357">
        <f t="shared" ca="1" si="100"/>
        <v>161.02042836800879</v>
      </c>
      <c r="J232" s="359">
        <f t="shared" ca="1" si="101"/>
        <v>39.256926687510827</v>
      </c>
      <c r="K232" s="360">
        <f t="shared" ca="1" si="102"/>
        <v>184.32738528988347</v>
      </c>
      <c r="L232" s="357">
        <f t="shared" ca="1" si="87"/>
        <v>188.46137869800737</v>
      </c>
      <c r="M232" s="359">
        <f t="shared" ca="1" si="103"/>
        <v>1.3471599153532807</v>
      </c>
      <c r="N232" s="357">
        <f t="shared" ca="1" si="104"/>
        <v>77.186577478944216</v>
      </c>
      <c r="O232" s="343"/>
      <c r="P232" s="363">
        <f t="shared" ca="1" si="105"/>
        <v>8</v>
      </c>
      <c r="Q232" s="357">
        <f t="shared" ca="1" si="106"/>
        <v>869.02500000000066</v>
      </c>
      <c r="R232" s="359">
        <f t="shared" ca="1" si="107"/>
        <v>0.43532265801129932</v>
      </c>
      <c r="S232" s="360">
        <f t="shared" ca="1" si="108"/>
        <v>11.387815626267926</v>
      </c>
      <c r="T232" s="357">
        <f t="shared" ca="1" si="88"/>
        <v>111.71447129368836</v>
      </c>
      <c r="U232" s="364">
        <f t="shared" ca="1" si="89"/>
        <v>0</v>
      </c>
      <c r="V232" s="359">
        <f t="shared" ca="1" si="90"/>
        <v>1.2026261014132513</v>
      </c>
      <c r="W232" s="357">
        <f t="shared" ca="1" si="91"/>
        <v>71.20208700697269</v>
      </c>
      <c r="X232" s="343"/>
      <c r="Y232" s="367" t="str">
        <f t="shared" ca="1" si="109"/>
        <v/>
      </c>
      <c r="Z232" s="368" t="str">
        <f t="shared" ca="1" si="110"/>
        <v/>
      </c>
      <c r="AA232" s="369" t="str">
        <f t="shared" ca="1" si="111"/>
        <v/>
      </c>
      <c r="AB232" s="344"/>
      <c r="AC232" s="363" t="e">
        <f t="shared" ca="1" si="112"/>
        <v>#N/A</v>
      </c>
      <c r="AD232" s="376" t="e">
        <f t="shared" ca="1" si="113"/>
        <v>#N/A</v>
      </c>
      <c r="AE232" s="377">
        <f t="shared" ca="1" si="92"/>
        <v>184.32738528988347</v>
      </c>
      <c r="AF232" s="344"/>
      <c r="AG232" s="359">
        <f t="shared" ca="1" si="114"/>
        <v>60.539300661059087</v>
      </c>
      <c r="AH232" s="357">
        <f t="shared" ca="1" si="115"/>
        <v>70.105300109472282</v>
      </c>
    </row>
    <row r="233" spans="1:34" x14ac:dyDescent="0.25">
      <c r="A233" s="402">
        <f t="shared" ca="1" si="93"/>
        <v>0.01</v>
      </c>
      <c r="B233" s="357">
        <f t="shared" ca="1" si="94"/>
        <v>2.2899999999999952</v>
      </c>
      <c r="C233" s="342"/>
      <c r="D233" s="359">
        <f t="shared" ca="1" si="95"/>
        <v>15.515446138768645</v>
      </c>
      <c r="E233" s="360">
        <f t="shared" ca="1" si="96"/>
        <v>58.407515290771187</v>
      </c>
      <c r="F233" s="357">
        <f t="shared" ca="1" si="97"/>
        <v>60.433160692840652</v>
      </c>
      <c r="G233" s="359">
        <f t="shared" ca="1" si="98"/>
        <v>35.865771864660267</v>
      </c>
      <c r="H233" s="360">
        <f t="shared" ca="1" si="99"/>
        <v>157.59468038865009</v>
      </c>
      <c r="I233" s="357">
        <f t="shared" ca="1" si="100"/>
        <v>161.62436969172882</v>
      </c>
      <c r="J233" s="359">
        <f t="shared" ca="1" si="101"/>
        <v>39.614808633850494</v>
      </c>
      <c r="K233" s="360">
        <f t="shared" ca="1" si="102"/>
        <v>185.90041171800542</v>
      </c>
      <c r="L233" s="357">
        <f t="shared" ca="1" si="87"/>
        <v>190.07444894046259</v>
      </c>
      <c r="M233" s="359">
        <f t="shared" ca="1" si="103"/>
        <v>1.3470253049747209</v>
      </c>
      <c r="N233" s="357">
        <f t="shared" ca="1" si="104"/>
        <v>77.178864872374078</v>
      </c>
      <c r="O233" s="343"/>
      <c r="P233" s="363">
        <f t="shared" ca="1" si="105"/>
        <v>8</v>
      </c>
      <c r="Q233" s="357">
        <f t="shared" ca="1" si="106"/>
        <v>867.58611111111179</v>
      </c>
      <c r="R233" s="359">
        <f t="shared" ca="1" si="107"/>
        <v>0.434601872147033</v>
      </c>
      <c r="S233" s="360">
        <f t="shared" ca="1" si="108"/>
        <v>11.383469607546456</v>
      </c>
      <c r="T233" s="357">
        <f t="shared" ca="1" si="88"/>
        <v>111.67183685003073</v>
      </c>
      <c r="U233" s="364">
        <f t="shared" ca="1" si="89"/>
        <v>0</v>
      </c>
      <c r="V233" s="359">
        <f t="shared" ca="1" si="90"/>
        <v>1.2024369238220993</v>
      </c>
      <c r="W233" s="357">
        <f t="shared" ca="1" si="91"/>
        <v>71.725921242528173</v>
      </c>
      <c r="X233" s="343"/>
      <c r="Y233" s="367" t="str">
        <f t="shared" ca="1" si="109"/>
        <v/>
      </c>
      <c r="Z233" s="368" t="str">
        <f t="shared" ca="1" si="110"/>
        <v/>
      </c>
      <c r="AA233" s="369" t="str">
        <f t="shared" ca="1" si="111"/>
        <v/>
      </c>
      <c r="AB233" s="344"/>
      <c r="AC233" s="363" t="e">
        <f t="shared" ca="1" si="112"/>
        <v>#N/A</v>
      </c>
      <c r="AD233" s="376" t="e">
        <f t="shared" ca="1" si="113"/>
        <v>#N/A</v>
      </c>
      <c r="AE233" s="377">
        <f t="shared" ca="1" si="92"/>
        <v>185.90041171800542</v>
      </c>
      <c r="AF233" s="344"/>
      <c r="AG233" s="359">
        <f t="shared" ca="1" si="114"/>
        <v>60.393985940696886</v>
      </c>
      <c r="AH233" s="357">
        <f t="shared" ca="1" si="115"/>
        <v>69.959691689798291</v>
      </c>
    </row>
    <row r="234" spans="1:34" x14ac:dyDescent="0.25">
      <c r="A234" s="402">
        <f t="shared" ca="1" si="93"/>
        <v>0.01</v>
      </c>
      <c r="B234" s="357">
        <f t="shared" ca="1" si="94"/>
        <v>2.2999999999999949</v>
      </c>
      <c r="C234" s="342"/>
      <c r="D234" s="359">
        <f t="shared" ca="1" si="95"/>
        <v>15.492272541325244</v>
      </c>
      <c r="E234" s="360">
        <f t="shared" ca="1" si="96"/>
        <v>58.2632523715655</v>
      </c>
      <c r="F234" s="357">
        <f t="shared" ca="1" si="97"/>
        <v>60.287785540749731</v>
      </c>
      <c r="G234" s="359">
        <f t="shared" ca="1" si="98"/>
        <v>36.020694590073518</v>
      </c>
      <c r="H234" s="360">
        <f t="shared" ca="1" si="99"/>
        <v>158.17731291236575</v>
      </c>
      <c r="I234" s="357">
        <f t="shared" ca="1" si="100"/>
        <v>162.22685584984941</v>
      </c>
      <c r="J234" s="359">
        <f t="shared" ca="1" si="101"/>
        <v>39.974240966124164</v>
      </c>
      <c r="K234" s="360">
        <f t="shared" ca="1" si="102"/>
        <v>187.47927168451051</v>
      </c>
      <c r="L234" s="357">
        <f t="shared" ca="1" si="87"/>
        <v>191.69355036665229</v>
      </c>
      <c r="M234" s="359">
        <f t="shared" ca="1" si="103"/>
        <v>1.3468911151470881</v>
      </c>
      <c r="N234" s="357">
        <f t="shared" ca="1" si="104"/>
        <v>77.171176361597134</v>
      </c>
      <c r="O234" s="343"/>
      <c r="P234" s="363">
        <f t="shared" ca="1" si="105"/>
        <v>8</v>
      </c>
      <c r="Q234" s="357">
        <f t="shared" ca="1" si="106"/>
        <v>866.14722222222292</v>
      </c>
      <c r="R234" s="359">
        <f t="shared" ca="1" si="107"/>
        <v>0.43388108628276673</v>
      </c>
      <c r="S234" s="360">
        <f t="shared" ca="1" si="108"/>
        <v>11.379130796683627</v>
      </c>
      <c r="T234" s="357">
        <f t="shared" ca="1" si="88"/>
        <v>111.62927311546639</v>
      </c>
      <c r="U234" s="364">
        <f t="shared" ca="1" si="89"/>
        <v>0</v>
      </c>
      <c r="V234" s="359">
        <f t="shared" ca="1" si="90"/>
        <v>1.202247074315449</v>
      </c>
      <c r="W234" s="357">
        <f t="shared" ca="1" si="91"/>
        <v>72.250253267887288</v>
      </c>
      <c r="X234" s="343"/>
      <c r="Y234" s="367" t="str">
        <f t="shared" ca="1" si="109"/>
        <v/>
      </c>
      <c r="Z234" s="368" t="str">
        <f t="shared" ca="1" si="110"/>
        <v/>
      </c>
      <c r="AA234" s="369" t="str">
        <f t="shared" ca="1" si="111"/>
        <v/>
      </c>
      <c r="AB234" s="344"/>
      <c r="AC234" s="363" t="e">
        <f t="shared" ca="1" si="112"/>
        <v>#N/A</v>
      </c>
      <c r="AD234" s="376" t="e">
        <f t="shared" ca="1" si="113"/>
        <v>#N/A</v>
      </c>
      <c r="AE234" s="377">
        <f t="shared" ca="1" si="92"/>
        <v>187.47927168451051</v>
      </c>
      <c r="AF234" s="344"/>
      <c r="AG234" s="359">
        <f t="shared" ca="1" si="114"/>
        <v>60.248469751840659</v>
      </c>
      <c r="AH234" s="357">
        <f t="shared" ca="1" si="115"/>
        <v>69.813882551664094</v>
      </c>
    </row>
    <row r="235" spans="1:34" x14ac:dyDescent="0.25">
      <c r="A235" s="402">
        <f t="shared" ca="1" si="93"/>
        <v>0.01</v>
      </c>
      <c r="B235" s="357">
        <f t="shared" ca="1" si="94"/>
        <v>2.3099999999999947</v>
      </c>
      <c r="C235" s="342"/>
      <c r="D235" s="359">
        <f t="shared" ca="1" si="95"/>
        <v>15.468987601670639</v>
      </c>
      <c r="E235" s="360">
        <f t="shared" ca="1" si="96"/>
        <v>58.11880926236374</v>
      </c>
      <c r="F235" s="357">
        <f t="shared" ca="1" si="97"/>
        <v>60.14221119559587</v>
      </c>
      <c r="G235" s="359">
        <f t="shared" ca="1" si="98"/>
        <v>36.175384466090222</v>
      </c>
      <c r="H235" s="360">
        <f t="shared" ca="1" si="99"/>
        <v>158.7585010049894</v>
      </c>
      <c r="I235" s="357">
        <f t="shared" ca="1" si="100"/>
        <v>162.82788484353858</v>
      </c>
      <c r="J235" s="359">
        <f t="shared" ca="1" si="101"/>
        <v>40.335221361404983</v>
      </c>
      <c r="K235" s="360">
        <f t="shared" ca="1" si="102"/>
        <v>189.06395075409728</v>
      </c>
      <c r="L235" s="357">
        <f t="shared" ca="1" si="87"/>
        <v>193.3186684131185</v>
      </c>
      <c r="M235" s="359">
        <f t="shared" ca="1" si="103"/>
        <v>1.3467573418105412</v>
      </c>
      <c r="N235" s="357">
        <f t="shared" ca="1" si="104"/>
        <v>77.163511714001615</v>
      </c>
      <c r="O235" s="343"/>
      <c r="P235" s="363">
        <f t="shared" ca="1" si="105"/>
        <v>8</v>
      </c>
      <c r="Q235" s="357">
        <f t="shared" ca="1" si="106"/>
        <v>864.70833333333405</v>
      </c>
      <c r="R235" s="359">
        <f t="shared" ca="1" si="107"/>
        <v>0.4331603004185004</v>
      </c>
      <c r="S235" s="360">
        <f t="shared" ca="1" si="108"/>
        <v>11.374799193679442</v>
      </c>
      <c r="T235" s="357">
        <f t="shared" ca="1" si="88"/>
        <v>111.58678008999533</v>
      </c>
      <c r="U235" s="364">
        <f t="shared" ca="1" si="89"/>
        <v>0</v>
      </c>
      <c r="V235" s="359">
        <f t="shared" ca="1" si="90"/>
        <v>1.2020565549508679</v>
      </c>
      <c r="W235" s="357">
        <f t="shared" ca="1" si="91"/>
        <v>72.775065749115626</v>
      </c>
      <c r="X235" s="343"/>
      <c r="Y235" s="367" t="str">
        <f t="shared" ca="1" si="109"/>
        <v/>
      </c>
      <c r="Z235" s="368" t="str">
        <f t="shared" ca="1" si="110"/>
        <v/>
      </c>
      <c r="AA235" s="369" t="str">
        <f t="shared" ca="1" si="111"/>
        <v/>
      </c>
      <c r="AB235" s="344"/>
      <c r="AC235" s="363" t="e">
        <f t="shared" ca="1" si="112"/>
        <v>#N/A</v>
      </c>
      <c r="AD235" s="376" t="e">
        <f t="shared" ca="1" si="113"/>
        <v>#N/A</v>
      </c>
      <c r="AE235" s="377">
        <f t="shared" ca="1" si="92"/>
        <v>189.06395075409728</v>
      </c>
      <c r="AF235" s="344"/>
      <c r="AG235" s="359">
        <f t="shared" ca="1" si="114"/>
        <v>60.102753676178537</v>
      </c>
      <c r="AH235" s="357">
        <f t="shared" ca="1" si="115"/>
        <v>69.667874269445264</v>
      </c>
    </row>
    <row r="236" spans="1:34" x14ac:dyDescent="0.25">
      <c r="A236" s="402">
        <f t="shared" ca="1" si="93"/>
        <v>0.01</v>
      </c>
      <c r="B236" s="357">
        <f t="shared" ca="1" si="94"/>
        <v>2.3199999999999945</v>
      </c>
      <c r="C236" s="342"/>
      <c r="D236" s="359">
        <f t="shared" ca="1" si="95"/>
        <v>15.445592050467738</v>
      </c>
      <c r="E236" s="360">
        <f t="shared" ca="1" si="96"/>
        <v>57.974187431798697</v>
      </c>
      <c r="F236" s="357">
        <f t="shared" ca="1" si="97"/>
        <v>59.996439245731892</v>
      </c>
      <c r="G236" s="359">
        <f t="shared" ca="1" si="98"/>
        <v>36.329840386594896</v>
      </c>
      <c r="H236" s="360">
        <f t="shared" ca="1" si="99"/>
        <v>159.33824287930739</v>
      </c>
      <c r="I236" s="357">
        <f t="shared" ca="1" si="100"/>
        <v>163.42745468978157</v>
      </c>
      <c r="J236" s="359">
        <f t="shared" ca="1" si="101"/>
        <v>40.697747485668408</v>
      </c>
      <c r="K236" s="360">
        <f t="shared" ca="1" si="102"/>
        <v>190.65443447351876</v>
      </c>
      <c r="L236" s="357">
        <f t="shared" ca="1" si="87"/>
        <v>194.94978849648564</v>
      </c>
      <c r="M236" s="359">
        <f t="shared" ca="1" si="103"/>
        <v>1.3466239809571554</v>
      </c>
      <c r="N236" s="357">
        <f t="shared" ca="1" si="104"/>
        <v>77.155870699950341</v>
      </c>
      <c r="O236" s="343"/>
      <c r="P236" s="363">
        <f t="shared" ca="1" si="105"/>
        <v>8</v>
      </c>
      <c r="Q236" s="357">
        <f t="shared" ca="1" si="106"/>
        <v>863.2694444444453</v>
      </c>
      <c r="R236" s="359">
        <f t="shared" ca="1" si="107"/>
        <v>0.43243951455423413</v>
      </c>
      <c r="S236" s="360">
        <f t="shared" ca="1" si="108"/>
        <v>11.3704747985339</v>
      </c>
      <c r="T236" s="357">
        <f t="shared" ca="1" si="88"/>
        <v>111.54435777361756</v>
      </c>
      <c r="U236" s="364">
        <f t="shared" ca="1" si="89"/>
        <v>0</v>
      </c>
      <c r="V236" s="359">
        <f t="shared" ca="1" si="90"/>
        <v>1.20186536778805</v>
      </c>
      <c r="W236" s="357">
        <f t="shared" ca="1" si="91"/>
        <v>73.300341386783202</v>
      </c>
      <c r="X236" s="343"/>
      <c r="Y236" s="367" t="str">
        <f t="shared" ca="1" si="109"/>
        <v/>
      </c>
      <c r="Z236" s="368" t="str">
        <f t="shared" ca="1" si="110"/>
        <v/>
      </c>
      <c r="AA236" s="369" t="str">
        <f t="shared" ca="1" si="111"/>
        <v/>
      </c>
      <c r="AB236" s="344"/>
      <c r="AC236" s="363" t="e">
        <f t="shared" ca="1" si="112"/>
        <v>#N/A</v>
      </c>
      <c r="AD236" s="376" t="e">
        <f t="shared" ca="1" si="113"/>
        <v>#N/A</v>
      </c>
      <c r="AE236" s="377">
        <f t="shared" ca="1" si="92"/>
        <v>190.65443447351876</v>
      </c>
      <c r="AF236" s="344"/>
      <c r="AG236" s="359">
        <f t="shared" ca="1" si="114"/>
        <v>59.95683929547846</v>
      </c>
      <c r="AH236" s="357">
        <f t="shared" ca="1" si="115"/>
        <v>69.521668417686072</v>
      </c>
    </row>
    <row r="237" spans="1:34" x14ac:dyDescent="0.25">
      <c r="A237" s="402">
        <f t="shared" ca="1" si="93"/>
        <v>0.01</v>
      </c>
      <c r="B237" s="357">
        <f t="shared" ca="1" si="94"/>
        <v>2.3299999999999943</v>
      </c>
      <c r="C237" s="342"/>
      <c r="D237" s="359">
        <f t="shared" ca="1" si="95"/>
        <v>15.422086613829695</v>
      </c>
      <c r="E237" s="360">
        <f t="shared" ca="1" si="96"/>
        <v>57.829388349386306</v>
      </c>
      <c r="F237" s="357">
        <f t="shared" ca="1" si="97"/>
        <v>59.850471279586444</v>
      </c>
      <c r="G237" s="359">
        <f t="shared" ca="1" si="98"/>
        <v>36.484061252733191</v>
      </c>
      <c r="H237" s="360">
        <f t="shared" ca="1" si="99"/>
        <v>159.91653676280126</v>
      </c>
      <c r="I237" s="357">
        <f t="shared" ca="1" si="100"/>
        <v>164.02556342138124</v>
      </c>
      <c r="J237" s="359">
        <f t="shared" ca="1" si="101"/>
        <v>41.061816993865051</v>
      </c>
      <c r="K237" s="360">
        <f t="shared" ca="1" si="102"/>
        <v>192.2507083717293</v>
      </c>
      <c r="L237" s="357">
        <f t="shared" ca="1" si="87"/>
        <v>196.5868960136188</v>
      </c>
      <c r="M237" s="359">
        <f t="shared" ca="1" si="103"/>
        <v>1.3464910286300136</v>
      </c>
      <c r="N237" s="357">
        <f t="shared" ca="1" si="104"/>
        <v>77.14825309272868</v>
      </c>
      <c r="O237" s="343"/>
      <c r="P237" s="363">
        <f t="shared" ca="1" si="105"/>
        <v>8</v>
      </c>
      <c r="Q237" s="357">
        <f t="shared" ca="1" si="106"/>
        <v>861.83055555555643</v>
      </c>
      <c r="R237" s="359">
        <f t="shared" ca="1" si="107"/>
        <v>0.43171872868996786</v>
      </c>
      <c r="S237" s="360">
        <f t="shared" ca="1" si="108"/>
        <v>11.366157611247001</v>
      </c>
      <c r="T237" s="357">
        <f t="shared" ca="1" si="88"/>
        <v>111.50200616633309</v>
      </c>
      <c r="U237" s="364">
        <f t="shared" ca="1" si="89"/>
        <v>0</v>
      </c>
      <c r="V237" s="359">
        <f t="shared" ca="1" si="90"/>
        <v>1.201673514888786</v>
      </c>
      <c r="W237" s="357">
        <f t="shared" ca="1" si="91"/>
        <v>73.826062916471088</v>
      </c>
      <c r="X237" s="343"/>
      <c r="Y237" s="367" t="str">
        <f t="shared" ca="1" si="109"/>
        <v/>
      </c>
      <c r="Z237" s="368" t="str">
        <f t="shared" ca="1" si="110"/>
        <v/>
      </c>
      <c r="AA237" s="369" t="str">
        <f t="shared" ca="1" si="111"/>
        <v/>
      </c>
      <c r="AB237" s="344"/>
      <c r="AC237" s="363" t="e">
        <f t="shared" ca="1" si="112"/>
        <v>#N/A</v>
      </c>
      <c r="AD237" s="376" t="e">
        <f t="shared" ca="1" si="113"/>
        <v>#N/A</v>
      </c>
      <c r="AE237" s="377">
        <f t="shared" ca="1" si="92"/>
        <v>192.2507083717293</v>
      </c>
      <c r="AF237" s="344"/>
      <c r="AG237" s="359">
        <f t="shared" ca="1" si="114"/>
        <v>59.810728191535304</v>
      </c>
      <c r="AH237" s="357">
        <f t="shared" ca="1" si="115"/>
        <v>69.375266571045046</v>
      </c>
    </row>
    <row r="238" spans="1:34" x14ac:dyDescent="0.25">
      <c r="A238" s="402">
        <f t="shared" ca="1" si="93"/>
        <v>0.01</v>
      </c>
      <c r="B238" s="357">
        <f t="shared" ca="1" si="94"/>
        <v>2.3399999999999941</v>
      </c>
      <c r="C238" s="342"/>
      <c r="D238" s="359">
        <f t="shared" ca="1" si="95"/>
        <v>15.398472013393167</v>
      </c>
      <c r="E238" s="360">
        <f t="shared" ca="1" si="96"/>
        <v>57.684413485458109</v>
      </c>
      <c r="F238" s="357">
        <f t="shared" ca="1" si="97"/>
        <v>59.70430888561188</v>
      </c>
      <c r="G238" s="359">
        <f t="shared" ca="1" si="98"/>
        <v>36.638045972867125</v>
      </c>
      <c r="H238" s="360">
        <f t="shared" ca="1" si="99"/>
        <v>160.49338089765584</v>
      </c>
      <c r="I238" s="357">
        <f t="shared" ca="1" si="100"/>
        <v>164.62220908695755</v>
      </c>
      <c r="J238" s="359">
        <f t="shared" ca="1" si="101"/>
        <v>41.427427529993054</v>
      </c>
      <c r="K238" s="360">
        <f t="shared" ca="1" si="102"/>
        <v>193.8527579600316</v>
      </c>
      <c r="L238" s="357">
        <f t="shared" ca="1" si="87"/>
        <v>198.22997634178193</v>
      </c>
      <c r="M238" s="359">
        <f t="shared" ca="1" si="103"/>
        <v>1.3463584809223144</v>
      </c>
      <c r="N238" s="357">
        <f t="shared" ca="1" si="104"/>
        <v>77.140658668493373</v>
      </c>
      <c r="O238" s="343"/>
      <c r="P238" s="363">
        <f t="shared" ca="1" si="105"/>
        <v>8</v>
      </c>
      <c r="Q238" s="357">
        <f t="shared" ca="1" si="106"/>
        <v>860.39166666666756</v>
      </c>
      <c r="R238" s="359">
        <f t="shared" ca="1" si="107"/>
        <v>0.43099794282570153</v>
      </c>
      <c r="S238" s="360">
        <f t="shared" ca="1" si="108"/>
        <v>11.361847631818744</v>
      </c>
      <c r="T238" s="357">
        <f t="shared" ca="1" si="88"/>
        <v>111.45972526814188</v>
      </c>
      <c r="U238" s="364">
        <f t="shared" ca="1" si="89"/>
        <v>0</v>
      </c>
      <c r="V238" s="359">
        <f t="shared" ca="1" si="90"/>
        <v>1.2014809983169328</v>
      </c>
      <c r="W238" s="357">
        <f t="shared" ca="1" si="91"/>
        <v>74.352213109274146</v>
      </c>
      <c r="X238" s="343"/>
      <c r="Y238" s="367" t="str">
        <f t="shared" ca="1" si="109"/>
        <v/>
      </c>
      <c r="Z238" s="368" t="str">
        <f t="shared" ca="1" si="110"/>
        <v/>
      </c>
      <c r="AA238" s="369" t="str">
        <f t="shared" ca="1" si="111"/>
        <v/>
      </c>
      <c r="AB238" s="344"/>
      <c r="AC238" s="363" t="e">
        <f t="shared" ca="1" si="112"/>
        <v>#N/A</v>
      </c>
      <c r="AD238" s="376" t="e">
        <f t="shared" ca="1" si="113"/>
        <v>#N/A</v>
      </c>
      <c r="AE238" s="377">
        <f t="shared" ca="1" si="92"/>
        <v>193.8527579600316</v>
      </c>
      <c r="AF238" s="344"/>
      <c r="AG238" s="359">
        <f t="shared" ca="1" si="114"/>
        <v>59.664421946117976</v>
      </c>
      <c r="AH238" s="357">
        <f t="shared" ca="1" si="115"/>
        <v>69.22867030424058</v>
      </c>
    </row>
    <row r="239" spans="1:34" x14ac:dyDescent="0.25">
      <c r="A239" s="402">
        <f t="shared" ca="1" si="93"/>
        <v>0.01</v>
      </c>
      <c r="B239" s="357">
        <f t="shared" ca="1" si="94"/>
        <v>2.3499999999999939</v>
      </c>
      <c r="C239" s="342"/>
      <c r="D239" s="359">
        <f t="shared" ca="1" si="95"/>
        <v>15.374748966389914</v>
      </c>
      <c r="E239" s="360">
        <f t="shared" ca="1" si="96"/>
        <v>57.539264311094428</v>
      </c>
      <c r="F239" s="357">
        <f t="shared" ca="1" si="97"/>
        <v>59.557953652232655</v>
      </c>
      <c r="G239" s="359">
        <f t="shared" ca="1" si="98"/>
        <v>36.791793462531025</v>
      </c>
      <c r="H239" s="360">
        <f t="shared" ca="1" si="99"/>
        <v>161.06877354076678</v>
      </c>
      <c r="I239" s="357">
        <f t="shared" ca="1" si="100"/>
        <v>165.21738975094709</v>
      </c>
      <c r="J239" s="359">
        <f t="shared" ca="1" si="101"/>
        <v>41.794576727170046</v>
      </c>
      <c r="K239" s="360">
        <f t="shared" ca="1" si="102"/>
        <v>195.46056873222372</v>
      </c>
      <c r="L239" s="357">
        <f t="shared" ca="1" si="87"/>
        <v>199.87901483879605</v>
      </c>
      <c r="M239" s="359">
        <f t="shared" ca="1" si="103"/>
        <v>1.3462263339765015</v>
      </c>
      <c r="N239" s="357">
        <f t="shared" ca="1" si="104"/>
        <v>77.133087206222754</v>
      </c>
      <c r="O239" s="343"/>
      <c r="P239" s="363">
        <f t="shared" ca="1" si="105"/>
        <v>8</v>
      </c>
      <c r="Q239" s="357">
        <f t="shared" ca="1" si="106"/>
        <v>858.95277777777869</v>
      </c>
      <c r="R239" s="359">
        <f t="shared" ca="1" si="107"/>
        <v>0.43027715696143526</v>
      </c>
      <c r="S239" s="360">
        <f t="shared" ca="1" si="108"/>
        <v>11.35754486024913</v>
      </c>
      <c r="T239" s="357">
        <f t="shared" ca="1" si="88"/>
        <v>111.41751507904397</v>
      </c>
      <c r="U239" s="364">
        <f t="shared" ca="1" si="89"/>
        <v>0</v>
      </c>
      <c r="V239" s="359">
        <f t="shared" ca="1" si="90"/>
        <v>1.2012878201383841</v>
      </c>
      <c r="W239" s="357">
        <f t="shared" ca="1" si="91"/>
        <v>74.878774772301284</v>
      </c>
      <c r="X239" s="343"/>
      <c r="Y239" s="367" t="str">
        <f t="shared" ca="1" si="109"/>
        <v/>
      </c>
      <c r="Z239" s="368" t="str">
        <f t="shared" ca="1" si="110"/>
        <v/>
      </c>
      <c r="AA239" s="369" t="str">
        <f t="shared" ca="1" si="111"/>
        <v/>
      </c>
      <c r="AB239" s="344"/>
      <c r="AC239" s="363" t="e">
        <f t="shared" ca="1" si="112"/>
        <v>#N/A</v>
      </c>
      <c r="AD239" s="376" t="e">
        <f t="shared" ca="1" si="113"/>
        <v>#N/A</v>
      </c>
      <c r="AE239" s="377">
        <f t="shared" ca="1" si="92"/>
        <v>195.46056873222372</v>
      </c>
      <c r="AF239" s="344"/>
      <c r="AG239" s="359">
        <f t="shared" ca="1" si="114"/>
        <v>59.517922140916752</v>
      </c>
      <c r="AH239" s="357">
        <f t="shared" ca="1" si="115"/>
        <v>69.081881191996828</v>
      </c>
    </row>
    <row r="240" spans="1:34" x14ac:dyDescent="0.25">
      <c r="A240" s="402">
        <f t="shared" ca="1" si="93"/>
        <v>0.01</v>
      </c>
      <c r="B240" s="357">
        <f t="shared" ca="1" si="94"/>
        <v>2.3599999999999937</v>
      </c>
      <c r="C240" s="342"/>
      <c r="D240" s="359">
        <f t="shared" ca="1" si="95"/>
        <v>15.350918185716401</v>
      </c>
      <c r="E240" s="360">
        <f t="shared" ca="1" si="96"/>
        <v>57.393942298057723</v>
      </c>
      <c r="F240" s="357">
        <f t="shared" ca="1" si="97"/>
        <v>59.411407167793442</v>
      </c>
      <c r="G240" s="359">
        <f t="shared" ca="1" si="98"/>
        <v>36.945302644388192</v>
      </c>
      <c r="H240" s="360">
        <f t="shared" ca="1" si="99"/>
        <v>161.64271296374736</v>
      </c>
      <c r="I240" s="357">
        <f t="shared" ca="1" si="100"/>
        <v>165.81110349360156</v>
      </c>
      <c r="J240" s="359">
        <f t="shared" ca="1" si="101"/>
        <v>42.163262207704641</v>
      </c>
      <c r="K240" s="360">
        <f t="shared" ca="1" si="102"/>
        <v>197.0741261647463</v>
      </c>
      <c r="L240" s="357">
        <f t="shared" ca="1" si="87"/>
        <v>201.53399684319763</v>
      </c>
      <c r="M240" s="359">
        <f t="shared" ca="1" si="103"/>
        <v>1.3460945839834115</v>
      </c>
      <c r="N240" s="357">
        <f t="shared" ca="1" si="104"/>
        <v>77.125538487667825</v>
      </c>
      <c r="O240" s="343"/>
      <c r="P240" s="363">
        <f t="shared" ca="1" si="105"/>
        <v>8</v>
      </c>
      <c r="Q240" s="357">
        <f t="shared" ca="1" si="106"/>
        <v>857.51388888888982</v>
      </c>
      <c r="R240" s="359">
        <f t="shared" ca="1" si="107"/>
        <v>0.42955637109716893</v>
      </c>
      <c r="S240" s="360">
        <f t="shared" ca="1" si="108"/>
        <v>11.353249296538158</v>
      </c>
      <c r="T240" s="357">
        <f t="shared" ca="1" si="88"/>
        <v>111.37537559903933</v>
      </c>
      <c r="U240" s="364">
        <f t="shared" ca="1" si="89"/>
        <v>0</v>
      </c>
      <c r="V240" s="359">
        <f t="shared" ca="1" si="90"/>
        <v>1.2010939824210414</v>
      </c>
      <c r="W240" s="357">
        <f t="shared" ca="1" si="91"/>
        <v>75.405730749171525</v>
      </c>
      <c r="X240" s="343"/>
      <c r="Y240" s="367" t="str">
        <f t="shared" ca="1" si="109"/>
        <v/>
      </c>
      <c r="Z240" s="368" t="str">
        <f t="shared" ca="1" si="110"/>
        <v/>
      </c>
      <c r="AA240" s="369" t="str">
        <f t="shared" ca="1" si="111"/>
        <v/>
      </c>
      <c r="AB240" s="344"/>
      <c r="AC240" s="363" t="e">
        <f t="shared" ca="1" si="112"/>
        <v>#N/A</v>
      </c>
      <c r="AD240" s="376" t="e">
        <f t="shared" ca="1" si="113"/>
        <v>#N/A</v>
      </c>
      <c r="AE240" s="377">
        <f t="shared" ca="1" si="92"/>
        <v>197.0741261647463</v>
      </c>
      <c r="AF240" s="344"/>
      <c r="AG240" s="359">
        <f t="shared" ca="1" si="114"/>
        <v>59.371230357490589</v>
      </c>
      <c r="AH240" s="357">
        <f t="shared" ca="1" si="115"/>
        <v>68.934900808989568</v>
      </c>
    </row>
    <row r="241" spans="1:34" x14ac:dyDescent="0.25">
      <c r="A241" s="402">
        <f t="shared" ca="1" si="93"/>
        <v>0.01</v>
      </c>
      <c r="B241" s="357">
        <f t="shared" ca="1" si="94"/>
        <v>2.3699999999999934</v>
      </c>
      <c r="C241" s="342"/>
      <c r="D241" s="359">
        <f t="shared" ca="1" si="95"/>
        <v>15.326980380001725</v>
      </c>
      <c r="E241" s="360">
        <f t="shared" ca="1" si="96"/>
        <v>57.248448918726737</v>
      </c>
      <c r="F241" s="357">
        <f t="shared" ca="1" si="97"/>
        <v>59.264671020507848</v>
      </c>
      <c r="G241" s="359">
        <f t="shared" ca="1" si="98"/>
        <v>37.098572448188207</v>
      </c>
      <c r="H241" s="360">
        <f t="shared" ca="1" si="99"/>
        <v>162.21519745293463</v>
      </c>
      <c r="I241" s="357">
        <f t="shared" ca="1" si="100"/>
        <v>166.40334841098613</v>
      </c>
      <c r="J241" s="359">
        <f t="shared" ca="1" si="101"/>
        <v>42.533481583167521</v>
      </c>
      <c r="K241" s="360">
        <f t="shared" ca="1" si="102"/>
        <v>198.69341571682972</v>
      </c>
      <c r="L241" s="357">
        <f t="shared" ca="1" si="87"/>
        <v>203.1949076743966</v>
      </c>
      <c r="M241" s="359">
        <f t="shared" ca="1" si="103"/>
        <v>1.3459632271814397</v>
      </c>
      <c r="N241" s="357">
        <f t="shared" ca="1" si="104"/>
        <v>77.118012297304503</v>
      </c>
      <c r="O241" s="343"/>
      <c r="P241" s="363">
        <f t="shared" ca="1" si="105"/>
        <v>8</v>
      </c>
      <c r="Q241" s="357">
        <f t="shared" ca="1" si="106"/>
        <v>856.07500000000095</v>
      </c>
      <c r="R241" s="359">
        <f t="shared" ca="1" si="107"/>
        <v>0.42883558523290261</v>
      </c>
      <c r="S241" s="360">
        <f t="shared" ca="1" si="108"/>
        <v>11.348960940685828</v>
      </c>
      <c r="T241" s="357">
        <f t="shared" ca="1" si="88"/>
        <v>111.33330682812797</v>
      </c>
      <c r="U241" s="364">
        <f t="shared" ca="1" si="89"/>
        <v>0</v>
      </c>
      <c r="V241" s="359">
        <f t="shared" ca="1" si="90"/>
        <v>1.2008994872347809</v>
      </c>
      <c r="W241" s="357">
        <f t="shared" ca="1" si="91"/>
        <v>75.933063920506996</v>
      </c>
      <c r="X241" s="343"/>
      <c r="Y241" s="367" t="str">
        <f t="shared" ca="1" si="109"/>
        <v/>
      </c>
      <c r="Z241" s="368" t="str">
        <f t="shared" ca="1" si="110"/>
        <v/>
      </c>
      <c r="AA241" s="369" t="str">
        <f t="shared" ca="1" si="111"/>
        <v/>
      </c>
      <c r="AB241" s="344"/>
      <c r="AC241" s="363" t="e">
        <f t="shared" ca="1" si="112"/>
        <v>#N/A</v>
      </c>
      <c r="AD241" s="376" t="e">
        <f t="shared" ca="1" si="113"/>
        <v>#N/A</v>
      </c>
      <c r="AE241" s="377">
        <f t="shared" ca="1" si="92"/>
        <v>198.69341571682972</v>
      </c>
      <c r="AF241" s="344"/>
      <c r="AG241" s="359">
        <f t="shared" ca="1" si="114"/>
        <v>59.224348177214836</v>
      </c>
      <c r="AH241" s="357">
        <f t="shared" ca="1" si="115"/>
        <v>68.787730729792514</v>
      </c>
    </row>
    <row r="242" spans="1:34" x14ac:dyDescent="0.25">
      <c r="A242" s="402">
        <f t="shared" ca="1" si="93"/>
        <v>0.01</v>
      </c>
      <c r="B242" s="357">
        <f t="shared" ca="1" si="94"/>
        <v>2.3799999999999932</v>
      </c>
      <c r="C242" s="342"/>
      <c r="D242" s="359">
        <f t="shared" ca="1" si="95"/>
        <v>15.302936253673764</v>
      </c>
      <c r="E242" s="360">
        <f t="shared" ca="1" si="96"/>
        <v>57.10278564603081</v>
      </c>
      <c r="F242" s="357">
        <f t="shared" ca="1" si="97"/>
        <v>59.11774679840687</v>
      </c>
      <c r="G242" s="359">
        <f t="shared" ca="1" si="98"/>
        <v>37.251601810724942</v>
      </c>
      <c r="H242" s="360">
        <f t="shared" ca="1" si="99"/>
        <v>162.78622530939495</v>
      </c>
      <c r="I242" s="357">
        <f t="shared" ca="1" si="100"/>
        <v>166.99412261497679</v>
      </c>
      <c r="J242" s="359">
        <f t="shared" ca="1" si="101"/>
        <v>42.905232454462087</v>
      </c>
      <c r="K242" s="360">
        <f t="shared" ca="1" si="102"/>
        <v>200.31842283064137</v>
      </c>
      <c r="L242" s="357">
        <f t="shared" ca="1" si="87"/>
        <v>204.8617326328347</v>
      </c>
      <c r="M242" s="359">
        <f t="shared" ca="1" si="103"/>
        <v>1.3458322598557233</v>
      </c>
      <c r="N242" s="357">
        <f t="shared" ca="1" si="104"/>
        <v>77.110508422286841</v>
      </c>
      <c r="O242" s="343"/>
      <c r="P242" s="363">
        <f t="shared" ca="1" si="105"/>
        <v>8</v>
      </c>
      <c r="Q242" s="357">
        <f t="shared" ca="1" si="106"/>
        <v>854.63611111111209</v>
      </c>
      <c r="R242" s="359">
        <f t="shared" ca="1" si="107"/>
        <v>0.42811479936863633</v>
      </c>
      <c r="S242" s="360">
        <f t="shared" ca="1" si="108"/>
        <v>11.344679792692142</v>
      </c>
      <c r="T242" s="357">
        <f t="shared" ca="1" si="88"/>
        <v>111.29130876630992</v>
      </c>
      <c r="U242" s="364">
        <f t="shared" ca="1" si="89"/>
        <v>0</v>
      </c>
      <c r="V242" s="359">
        <f t="shared" ca="1" si="90"/>
        <v>1.200704336651427</v>
      </c>
      <c r="W242" s="357">
        <f t="shared" ca="1" si="91"/>
        <v>76.460757204422336</v>
      </c>
      <c r="X242" s="343"/>
      <c r="Y242" s="367" t="str">
        <f t="shared" ca="1" si="109"/>
        <v/>
      </c>
      <c r="Z242" s="368" t="str">
        <f t="shared" ca="1" si="110"/>
        <v/>
      </c>
      <c r="AA242" s="369" t="str">
        <f t="shared" ca="1" si="111"/>
        <v/>
      </c>
      <c r="AB242" s="344"/>
      <c r="AC242" s="363" t="e">
        <f t="shared" ca="1" si="112"/>
        <v>#N/A</v>
      </c>
      <c r="AD242" s="376" t="e">
        <f t="shared" ca="1" si="113"/>
        <v>#N/A</v>
      </c>
      <c r="AE242" s="377">
        <f t="shared" ca="1" si="92"/>
        <v>200.31842283064137</v>
      </c>
      <c r="AF242" s="344"/>
      <c r="AG242" s="359">
        <f t="shared" ca="1" si="114"/>
        <v>59.077277181228773</v>
      </c>
      <c r="AH242" s="357">
        <f t="shared" ca="1" si="115"/>
        <v>68.640372528823519</v>
      </c>
    </row>
    <row r="243" spans="1:34" x14ac:dyDescent="0.25">
      <c r="A243" s="402">
        <f t="shared" ca="1" si="93"/>
        <v>0.01</v>
      </c>
      <c r="B243" s="357">
        <f t="shared" ca="1" si="94"/>
        <v>2.389999999999993</v>
      </c>
      <c r="C243" s="342"/>
      <c r="D243" s="359">
        <f t="shared" ca="1" si="95"/>
        <v>15.278786507023709</v>
      </c>
      <c r="E243" s="360">
        <f t="shared" ca="1" si="96"/>
        <v>56.956953953384996</v>
      </c>
      <c r="F243" s="357">
        <f t="shared" ca="1" si="97"/>
        <v>58.970636089287936</v>
      </c>
      <c r="G243" s="359">
        <f t="shared" ca="1" si="98"/>
        <v>37.40438967579518</v>
      </c>
      <c r="H243" s="360">
        <f t="shared" ca="1" si="99"/>
        <v>163.35579484892881</v>
      </c>
      <c r="I243" s="357">
        <f t="shared" ca="1" si="100"/>
        <v>167.58342423325777</v>
      </c>
      <c r="J243" s="359">
        <f t="shared" ca="1" si="101"/>
        <v>43.278512411894688</v>
      </c>
      <c r="K243" s="360">
        <f t="shared" ca="1" si="102"/>
        <v>201.94913293143298</v>
      </c>
      <c r="L243" s="357">
        <f t="shared" ca="1" si="87"/>
        <v>206.53445700014348</v>
      </c>
      <c r="M243" s="359">
        <f t="shared" ca="1" si="103"/>
        <v>1.3457016783373443</v>
      </c>
      <c r="N243" s="357">
        <f t="shared" ca="1" si="104"/>
        <v>77.103026652401311</v>
      </c>
      <c r="O243" s="343"/>
      <c r="P243" s="363">
        <f t="shared" ca="1" si="105"/>
        <v>8</v>
      </c>
      <c r="Q243" s="357">
        <f t="shared" ca="1" si="106"/>
        <v>853.19722222222322</v>
      </c>
      <c r="R243" s="359">
        <f t="shared" ca="1" si="107"/>
        <v>0.42739401350437001</v>
      </c>
      <c r="S243" s="360">
        <f t="shared" ca="1" si="108"/>
        <v>11.340405852557099</v>
      </c>
      <c r="T243" s="357">
        <f t="shared" ca="1" si="88"/>
        <v>111.24938141358516</v>
      </c>
      <c r="U243" s="364">
        <f t="shared" ca="1" si="89"/>
        <v>0</v>
      </c>
      <c r="V243" s="359">
        <f t="shared" ca="1" si="90"/>
        <v>1.2005085327447207</v>
      </c>
      <c r="W243" s="357">
        <f t="shared" ca="1" si="91"/>
        <v>76.988793557010922</v>
      </c>
      <c r="X243" s="343"/>
      <c r="Y243" s="367" t="str">
        <f t="shared" ca="1" si="109"/>
        <v/>
      </c>
      <c r="Z243" s="368" t="str">
        <f t="shared" ca="1" si="110"/>
        <v/>
      </c>
      <c r="AA243" s="369" t="str">
        <f t="shared" ca="1" si="111"/>
        <v/>
      </c>
      <c r="AB243" s="344"/>
      <c r="AC243" s="363" t="e">
        <f t="shared" ca="1" si="112"/>
        <v>#N/A</v>
      </c>
      <c r="AD243" s="376" t="e">
        <f t="shared" ca="1" si="113"/>
        <v>#N/A</v>
      </c>
      <c r="AE243" s="377">
        <f t="shared" ca="1" si="92"/>
        <v>201.94913293143298</v>
      </c>
      <c r="AF243" s="344"/>
      <c r="AG243" s="359">
        <f t="shared" ca="1" si="114"/>
        <v>58.93001895038374</v>
      </c>
      <c r="AH243" s="357">
        <f t="shared" ca="1" si="115"/>
        <v>68.492827780291293</v>
      </c>
    </row>
    <row r="244" spans="1:34" x14ac:dyDescent="0.25">
      <c r="A244" s="402">
        <f t="shared" ca="1" si="93"/>
        <v>0.01</v>
      </c>
      <c r="B244" s="357">
        <f t="shared" ca="1" si="94"/>
        <v>2.3999999999999928</v>
      </c>
      <c r="C244" s="342"/>
      <c r="D244" s="359">
        <f t="shared" ca="1" si="95"/>
        <v>15.254531836268814</v>
      </c>
      <c r="E244" s="360">
        <f t="shared" ca="1" si="96"/>
        <v>56.810955314625289</v>
      </c>
      <c r="F244" s="357">
        <f t="shared" ca="1" si="97"/>
        <v>58.82334048066371</v>
      </c>
      <c r="G244" s="359">
        <f t="shared" ca="1" si="98"/>
        <v>37.556934994157871</v>
      </c>
      <c r="H244" s="360">
        <f t="shared" ca="1" si="99"/>
        <v>163.92390440207507</v>
      </c>
      <c r="I244" s="357">
        <f t="shared" ca="1" si="100"/>
        <v>168.17125140931802</v>
      </c>
      <c r="J244" s="359">
        <f t="shared" ca="1" si="101"/>
        <v>43.653319035244451</v>
      </c>
      <c r="K244" s="360">
        <f t="shared" ca="1" si="102"/>
        <v>203.58553142768801</v>
      </c>
      <c r="L244" s="357">
        <f t="shared" ca="1" si="87"/>
        <v>208.21306603930259</v>
      </c>
      <c r="M244" s="359">
        <f t="shared" ca="1" si="103"/>
        <v>1.3455714790025468</v>
      </c>
      <c r="N244" s="357">
        <f t="shared" ca="1" si="104"/>
        <v>77.095566780021997</v>
      </c>
      <c r="O244" s="343"/>
      <c r="P244" s="363">
        <f t="shared" ca="1" si="105"/>
        <v>8</v>
      </c>
      <c r="Q244" s="357">
        <f t="shared" ca="1" si="106"/>
        <v>851.75833333333435</v>
      </c>
      <c r="R244" s="359">
        <f t="shared" ca="1" si="107"/>
        <v>0.42667322764010368</v>
      </c>
      <c r="S244" s="360">
        <f t="shared" ca="1" si="108"/>
        <v>11.336139120280698</v>
      </c>
      <c r="T244" s="357">
        <f t="shared" ca="1" si="88"/>
        <v>111.20752476995366</v>
      </c>
      <c r="U244" s="364">
        <f t="shared" ca="1" si="89"/>
        <v>0</v>
      </c>
      <c r="V244" s="359">
        <f t="shared" ca="1" si="90"/>
        <v>1.2003120775902896</v>
      </c>
      <c r="W244" s="357">
        <f t="shared" ca="1" si="91"/>
        <v>77.517155972827169</v>
      </c>
      <c r="X244" s="343"/>
      <c r="Y244" s="367" t="str">
        <f t="shared" ca="1" si="109"/>
        <v/>
      </c>
      <c r="Z244" s="368" t="str">
        <f t="shared" ca="1" si="110"/>
        <v/>
      </c>
      <c r="AA244" s="369" t="str">
        <f t="shared" ca="1" si="111"/>
        <v/>
      </c>
      <c r="AB244" s="344"/>
      <c r="AC244" s="363" t="e">
        <f t="shared" ca="1" si="112"/>
        <v>#N/A</v>
      </c>
      <c r="AD244" s="376" t="e">
        <f t="shared" ca="1" si="113"/>
        <v>#N/A</v>
      </c>
      <c r="AE244" s="377">
        <f t="shared" ca="1" si="92"/>
        <v>203.58553142768801</v>
      </c>
      <c r="AF244" s="344"/>
      <c r="AG244" s="359">
        <f t="shared" ca="1" si="114"/>
        <v>58.78257506519094</v>
      </c>
      <c r="AH244" s="357">
        <f t="shared" ca="1" si="115"/>
        <v>68.345098058141957</v>
      </c>
    </row>
    <row r="245" spans="1:34" x14ac:dyDescent="0.25">
      <c r="A245" s="402">
        <f t="shared" ca="1" si="93"/>
        <v>0.01</v>
      </c>
      <c r="B245" s="357">
        <f t="shared" ca="1" si="94"/>
        <v>2.4099999999999926</v>
      </c>
      <c r="C245" s="342"/>
      <c r="D245" s="359">
        <f t="shared" ca="1" si="95"/>
        <v>15.230172933613702</v>
      </c>
      <c r="E245" s="360">
        <f t="shared" ca="1" si="96"/>
        <v>56.664791203944588</v>
      </c>
      <c r="F245" s="357">
        <f t="shared" ca="1" si="97"/>
        <v>58.675861559711379</v>
      </c>
      <c r="G245" s="359">
        <f t="shared" ca="1" si="98"/>
        <v>37.709236723494008</v>
      </c>
      <c r="H245" s="360">
        <f t="shared" ca="1" si="99"/>
        <v>164.49055231411452</v>
      </c>
      <c r="I245" s="357">
        <f t="shared" ca="1" si="100"/>
        <v>168.75760230244725</v>
      </c>
      <c r="J245" s="359">
        <f t="shared" ca="1" si="101"/>
        <v>44.029649893832712</v>
      </c>
      <c r="K245" s="360">
        <f t="shared" ca="1" si="102"/>
        <v>205.22760371126896</v>
      </c>
      <c r="L245" s="357">
        <f t="shared" ca="1" si="87"/>
        <v>209.89754499479773</v>
      </c>
      <c r="M245" s="359">
        <f t="shared" ca="1" si="103"/>
        <v>1.3454416582719719</v>
      </c>
      <c r="N245" s="357">
        <f t="shared" ca="1" si="104"/>
        <v>77.088128600066753</v>
      </c>
      <c r="O245" s="343"/>
      <c r="P245" s="363">
        <f t="shared" ca="1" si="105"/>
        <v>8</v>
      </c>
      <c r="Q245" s="357">
        <f t="shared" ca="1" si="106"/>
        <v>850.31944444444548</v>
      </c>
      <c r="R245" s="359">
        <f t="shared" ca="1" si="107"/>
        <v>0.42595244177583741</v>
      </c>
      <c r="S245" s="360">
        <f t="shared" ca="1" si="108"/>
        <v>11.33187959586294</v>
      </c>
      <c r="T245" s="357">
        <f t="shared" ca="1" si="88"/>
        <v>111.16573883541545</v>
      </c>
      <c r="U245" s="364">
        <f t="shared" ca="1" si="89"/>
        <v>0</v>
      </c>
      <c r="V245" s="359">
        <f t="shared" ca="1" si="90"/>
        <v>1.2001149732656191</v>
      </c>
      <c r="W245" s="357">
        <f t="shared" ca="1" si="91"/>
        <v>78.045827485365834</v>
      </c>
      <c r="X245" s="343"/>
      <c r="Y245" s="367" t="str">
        <f t="shared" ca="1" si="109"/>
        <v/>
      </c>
      <c r="Z245" s="368" t="str">
        <f t="shared" ca="1" si="110"/>
        <v/>
      </c>
      <c r="AA245" s="369" t="str">
        <f t="shared" ca="1" si="111"/>
        <v/>
      </c>
      <c r="AB245" s="344"/>
      <c r="AC245" s="363" t="e">
        <f t="shared" ca="1" si="112"/>
        <v>#N/A</v>
      </c>
      <c r="AD245" s="376" t="e">
        <f t="shared" ca="1" si="113"/>
        <v>#N/A</v>
      </c>
      <c r="AE245" s="377">
        <f t="shared" ca="1" si="92"/>
        <v>205.22760371126896</v>
      </c>
      <c r="AF245" s="344"/>
      <c r="AG245" s="359">
        <f t="shared" ca="1" si="114"/>
        <v>58.634947105769761</v>
      </c>
      <c r="AH245" s="357">
        <f t="shared" ca="1" si="115"/>
        <v>68.197184936006039</v>
      </c>
    </row>
    <row r="246" spans="1:34" x14ac:dyDescent="0.25">
      <c r="A246" s="402">
        <f t="shared" ca="1" si="93"/>
        <v>0.01</v>
      </c>
      <c r="B246" s="357">
        <f t="shared" ca="1" si="94"/>
        <v>2.4199999999999924</v>
      </c>
      <c r="C246" s="342"/>
      <c r="D246" s="359">
        <f t="shared" ca="1" si="95"/>
        <v>15.199680955543265</v>
      </c>
      <c r="E246" s="360">
        <f t="shared" ca="1" si="96"/>
        <v>56.492161820685567</v>
      </c>
      <c r="F246" s="357">
        <f t="shared" ca="1" si="97"/>
        <v>58.501236297405107</v>
      </c>
      <c r="G246" s="359">
        <f t="shared" ca="1" si="98"/>
        <v>37.861233533049443</v>
      </c>
      <c r="H246" s="360">
        <f t="shared" ca="1" si="99"/>
        <v>165.05547393232138</v>
      </c>
      <c r="I246" s="357">
        <f t="shared" ca="1" si="100"/>
        <v>169.34220525216782</v>
      </c>
      <c r="J246" s="359">
        <f t="shared" ca="1" si="101"/>
        <v>44.407502245115431</v>
      </c>
      <c r="K246" s="360">
        <f t="shared" ca="1" si="102"/>
        <v>206.87533384250113</v>
      </c>
      <c r="L246" s="357">
        <f t="shared" ca="1" si="87"/>
        <v>211.58787774373141</v>
      </c>
      <c r="M246" s="359">
        <f t="shared" ca="1" si="103"/>
        <v>1.3453122124036467</v>
      </c>
      <c r="N246" s="357">
        <f t="shared" ca="1" si="104"/>
        <v>77.080711898136315</v>
      </c>
      <c r="O246" s="343"/>
      <c r="P246" s="363">
        <f t="shared" ca="1" si="105"/>
        <v>9</v>
      </c>
      <c r="Q246" s="357">
        <f t="shared" ca="1" si="106"/>
        <v>848.57500000000164</v>
      </c>
      <c r="R246" s="359">
        <f t="shared" ca="1" si="107"/>
        <v>0.42507859327630249</v>
      </c>
      <c r="S246" s="360">
        <f t="shared" ca="1" si="108"/>
        <v>11.327628809930177</v>
      </c>
      <c r="T246" s="357">
        <f t="shared" ca="1" si="88"/>
        <v>111.12403862541504</v>
      </c>
      <c r="U246" s="364">
        <f t="shared" ca="1" si="89"/>
        <v>0</v>
      </c>
      <c r="V246" s="359">
        <f t="shared" ca="1" si="90"/>
        <v>1.1999172220078351</v>
      </c>
      <c r="W246" s="357">
        <f t="shared" ca="1" si="91"/>
        <v>78.574540771041526</v>
      </c>
      <c r="X246" s="343"/>
      <c r="Y246" s="367" t="str">
        <f t="shared" ca="1" si="109"/>
        <v/>
      </c>
      <c r="Z246" s="368" t="str">
        <f t="shared" ca="1" si="110"/>
        <v/>
      </c>
      <c r="AA246" s="369" t="str">
        <f t="shared" ca="1" si="111"/>
        <v/>
      </c>
      <c r="AB246" s="344"/>
      <c r="AC246" s="363" t="e">
        <f t="shared" ca="1" si="112"/>
        <v>#N/A</v>
      </c>
      <c r="AD246" s="376" t="e">
        <f t="shared" ca="1" si="113"/>
        <v>#N/A</v>
      </c>
      <c r="AE246" s="377">
        <f t="shared" ca="1" si="92"/>
        <v>206.87533384250113</v>
      </c>
      <c r="AF246" s="344"/>
      <c r="AG246" s="359">
        <f t="shared" ca="1" si="114"/>
        <v>58.46015309518296</v>
      </c>
      <c r="AH246" s="357">
        <f t="shared" ca="1" si="115"/>
        <v>68.022106430532418</v>
      </c>
    </row>
    <row r="247" spans="1:34" x14ac:dyDescent="0.25">
      <c r="A247" s="402">
        <f t="shared" ca="1" si="93"/>
        <v>0.01</v>
      </c>
      <c r="B247" s="357">
        <f t="shared" ca="1" si="94"/>
        <v>2.4299999999999922</v>
      </c>
      <c r="C247" s="342"/>
      <c r="D247" s="359">
        <f t="shared" ca="1" si="95"/>
        <v>15.163042513968412</v>
      </c>
      <c r="E247" s="360">
        <f t="shared" ca="1" si="96"/>
        <v>56.29305409659527</v>
      </c>
      <c r="F247" s="357">
        <f t="shared" ca="1" si="97"/>
        <v>58.299449378211243</v>
      </c>
      <c r="G247" s="359">
        <f t="shared" ca="1" si="98"/>
        <v>38.012863958189129</v>
      </c>
      <c r="H247" s="360">
        <f t="shared" ca="1" si="99"/>
        <v>165.61840447328734</v>
      </c>
      <c r="I247" s="357">
        <f t="shared" ca="1" si="100"/>
        <v>169.92478844059568</v>
      </c>
      <c r="J247" s="359">
        <f t="shared" ca="1" si="101"/>
        <v>44.786872732571624</v>
      </c>
      <c r="K247" s="360">
        <f t="shared" ca="1" si="102"/>
        <v>208.52870323452919</v>
      </c>
      <c r="L247" s="357">
        <f t="shared" ca="1" si="87"/>
        <v>213.28404544606218</v>
      </c>
      <c r="M247" s="359">
        <f t="shared" ca="1" si="103"/>
        <v>1.3451831374971908</v>
      </c>
      <c r="N247" s="357">
        <f t="shared" ca="1" si="104"/>
        <v>77.073316450755343</v>
      </c>
      <c r="O247" s="343"/>
      <c r="P247" s="363">
        <f t="shared" ca="1" si="105"/>
        <v>9</v>
      </c>
      <c r="Q247" s="357">
        <f t="shared" ca="1" si="106"/>
        <v>846.52500000000168</v>
      </c>
      <c r="R247" s="359">
        <f t="shared" ca="1" si="107"/>
        <v>0.42405168214149835</v>
      </c>
      <c r="S247" s="360">
        <f t="shared" ca="1" si="108"/>
        <v>11.323388293108762</v>
      </c>
      <c r="T247" s="357">
        <f t="shared" ca="1" si="88"/>
        <v>111.08243915539695</v>
      </c>
      <c r="U247" s="364">
        <f t="shared" ca="1" si="89"/>
        <v>0</v>
      </c>
      <c r="V247" s="359">
        <f t="shared" ca="1" si="90"/>
        <v>1.1997188263714209</v>
      </c>
      <c r="W247" s="357">
        <f t="shared" ca="1" si="91"/>
        <v>79.103025123913184</v>
      </c>
      <c r="X247" s="343"/>
      <c r="Y247" s="367" t="str">
        <f t="shared" ca="1" si="109"/>
        <v/>
      </c>
      <c r="Z247" s="368" t="str">
        <f t="shared" ca="1" si="110"/>
        <v/>
      </c>
      <c r="AA247" s="369" t="str">
        <f t="shared" ca="1" si="111"/>
        <v/>
      </c>
      <c r="AB247" s="344"/>
      <c r="AC247" s="363" t="e">
        <f t="shared" ca="1" si="112"/>
        <v>#N/A</v>
      </c>
      <c r="AD247" s="376" t="e">
        <f t="shared" ca="1" si="113"/>
        <v>#N/A</v>
      </c>
      <c r="AE247" s="377">
        <f t="shared" ca="1" si="92"/>
        <v>208.52870323452919</v>
      </c>
      <c r="AF247" s="344"/>
      <c r="AG247" s="359">
        <f t="shared" ca="1" si="114"/>
        <v>58.258177292621269</v>
      </c>
      <c r="AH247" s="357">
        <f t="shared" ca="1" si="115"/>
        <v>67.8198467941193</v>
      </c>
    </row>
    <row r="248" spans="1:34" x14ac:dyDescent="0.25">
      <c r="A248" s="402">
        <f t="shared" ca="1" si="93"/>
        <v>0.01</v>
      </c>
      <c r="B248" s="357">
        <f t="shared" ca="1" si="94"/>
        <v>2.439999999999992</v>
      </c>
      <c r="C248" s="342"/>
      <c r="D248" s="359">
        <f t="shared" ca="1" si="95"/>
        <v>15.12628523260147</v>
      </c>
      <c r="E248" s="360">
        <f t="shared" ca="1" si="96"/>
        <v>56.093774800730529</v>
      </c>
      <c r="F248" s="357">
        <f t="shared" ca="1" si="97"/>
        <v>58.0974704813651</v>
      </c>
      <c r="G248" s="359">
        <f t="shared" ca="1" si="98"/>
        <v>38.164126810515143</v>
      </c>
      <c r="H248" s="360">
        <f t="shared" ca="1" si="99"/>
        <v>166.17934222129466</v>
      </c>
      <c r="I248" s="357">
        <f t="shared" ca="1" si="100"/>
        <v>170.50534993457316</v>
      </c>
      <c r="J248" s="359">
        <f t="shared" ca="1" si="101"/>
        <v>45.167757686415143</v>
      </c>
      <c r="K248" s="360">
        <f t="shared" ca="1" si="102"/>
        <v>210.1876919680021</v>
      </c>
      <c r="L248" s="357">
        <f t="shared" ca="1" si="87"/>
        <v>214.98602789310391</v>
      </c>
      <c r="M248" s="359">
        <f t="shared" ca="1" si="103"/>
        <v>1.3450544297017237</v>
      </c>
      <c r="N248" s="357">
        <f t="shared" ca="1" si="104"/>
        <v>77.065942037284657</v>
      </c>
      <c r="O248" s="343"/>
      <c r="P248" s="363">
        <f t="shared" ca="1" si="105"/>
        <v>9</v>
      </c>
      <c r="Q248" s="357">
        <f t="shared" ca="1" si="106"/>
        <v>844.47500000000173</v>
      </c>
      <c r="R248" s="359">
        <f t="shared" ca="1" si="107"/>
        <v>0.42302477100669422</v>
      </c>
      <c r="S248" s="360">
        <f t="shared" ca="1" si="108"/>
        <v>11.319158045398694</v>
      </c>
      <c r="T248" s="357">
        <f t="shared" ca="1" si="88"/>
        <v>111.0409404253612</v>
      </c>
      <c r="U248" s="364">
        <f t="shared" ca="1" si="89"/>
        <v>0</v>
      </c>
      <c r="V248" s="359">
        <f t="shared" ca="1" si="90"/>
        <v>1.1995197890702292</v>
      </c>
      <c r="W248" s="357">
        <f t="shared" ca="1" si="91"/>
        <v>79.631258711665538</v>
      </c>
      <c r="X248" s="343"/>
      <c r="Y248" s="367" t="str">
        <f t="shared" ca="1" si="109"/>
        <v/>
      </c>
      <c r="Z248" s="368" t="str">
        <f t="shared" ca="1" si="110"/>
        <v/>
      </c>
      <c r="AA248" s="369" t="str">
        <f t="shared" ca="1" si="111"/>
        <v/>
      </c>
      <c r="AB248" s="344"/>
      <c r="AC248" s="363" t="e">
        <f t="shared" ca="1" si="112"/>
        <v>#N/A</v>
      </c>
      <c r="AD248" s="376" t="e">
        <f t="shared" ca="1" si="113"/>
        <v>#N/A</v>
      </c>
      <c r="AE248" s="377">
        <f t="shared" ca="1" si="92"/>
        <v>210.1876919680021</v>
      </c>
      <c r="AF248" s="344"/>
      <c r="AG248" s="359">
        <f t="shared" ca="1" si="114"/>
        <v>58.056008170751994</v>
      </c>
      <c r="AH248" s="357">
        <f t="shared" ca="1" si="115"/>
        <v>67.61739449227116</v>
      </c>
    </row>
    <row r="249" spans="1:34" x14ac:dyDescent="0.25">
      <c r="A249" s="402">
        <f t="shared" ca="1" si="93"/>
        <v>0.01</v>
      </c>
      <c r="B249" s="357">
        <f t="shared" ca="1" si="94"/>
        <v>2.4499999999999917</v>
      </c>
      <c r="C249" s="342"/>
      <c r="D249" s="359">
        <f t="shared" ca="1" si="95"/>
        <v>15.089410022536116</v>
      </c>
      <c r="E249" s="360">
        <f t="shared" ca="1" si="96"/>
        <v>55.894326067839472</v>
      </c>
      <c r="F249" s="357">
        <f t="shared" ca="1" si="97"/>
        <v>57.895301894075764</v>
      </c>
      <c r="G249" s="359">
        <f t="shared" ca="1" si="98"/>
        <v>38.3150209107405</v>
      </c>
      <c r="H249" s="360">
        <f t="shared" ca="1" si="99"/>
        <v>166.73828548197307</v>
      </c>
      <c r="I249" s="357">
        <f t="shared" ca="1" si="100"/>
        <v>171.0838878236593</v>
      </c>
      <c r="J249" s="359">
        <f t="shared" ca="1" si="101"/>
        <v>45.550153425021421</v>
      </c>
      <c r="K249" s="360">
        <f t="shared" ca="1" si="102"/>
        <v>211.85228010651844</v>
      </c>
      <c r="L249" s="357">
        <f t="shared" ca="1" si="87"/>
        <v>216.69380485693111</v>
      </c>
      <c r="M249" s="359">
        <f t="shared" ca="1" si="103"/>
        <v>1.34492608521498</v>
      </c>
      <c r="N249" s="357">
        <f t="shared" ca="1" si="104"/>
        <v>77.058588439870462</v>
      </c>
      <c r="O249" s="343"/>
      <c r="P249" s="363">
        <f t="shared" ca="1" si="105"/>
        <v>9</v>
      </c>
      <c r="Q249" s="357">
        <f t="shared" ca="1" si="106"/>
        <v>842.42500000000177</v>
      </c>
      <c r="R249" s="359">
        <f t="shared" ca="1" si="107"/>
        <v>0.42199785987189015</v>
      </c>
      <c r="S249" s="360">
        <f t="shared" ca="1" si="108"/>
        <v>11.314938066799975</v>
      </c>
      <c r="T249" s="357">
        <f t="shared" ca="1" si="88"/>
        <v>110.99954243530776</v>
      </c>
      <c r="U249" s="364">
        <f t="shared" ca="1" si="89"/>
        <v>0</v>
      </c>
      <c r="V249" s="359">
        <f t="shared" ca="1" si="90"/>
        <v>1.1993201128195543</v>
      </c>
      <c r="W249" s="357">
        <f t="shared" ca="1" si="91"/>
        <v>80.159219784899918</v>
      </c>
      <c r="X249" s="343"/>
      <c r="Y249" s="367" t="str">
        <f t="shared" ca="1" si="109"/>
        <v/>
      </c>
      <c r="Z249" s="368" t="str">
        <f t="shared" ca="1" si="110"/>
        <v/>
      </c>
      <c r="AA249" s="369" t="str">
        <f t="shared" ca="1" si="111"/>
        <v/>
      </c>
      <c r="AB249" s="344"/>
      <c r="AC249" s="363" t="e">
        <f t="shared" ca="1" si="112"/>
        <v>#N/A</v>
      </c>
      <c r="AD249" s="376" t="e">
        <f t="shared" ca="1" si="113"/>
        <v>#N/A</v>
      </c>
      <c r="AE249" s="377">
        <f t="shared" ca="1" si="92"/>
        <v>211.85228010651844</v>
      </c>
      <c r="AF249" s="344"/>
      <c r="AG249" s="359">
        <f t="shared" ca="1" si="114"/>
        <v>57.853648001292839</v>
      </c>
      <c r="AH249" s="357">
        <f t="shared" ca="1" si="115"/>
        <v>67.414751789628241</v>
      </c>
    </row>
    <row r="250" spans="1:34" x14ac:dyDescent="0.25">
      <c r="A250" s="402">
        <f t="shared" ca="1" si="93"/>
        <v>0.01</v>
      </c>
      <c r="B250" s="357">
        <f t="shared" ca="1" si="94"/>
        <v>2.4599999999999915</v>
      </c>
      <c r="C250" s="342"/>
      <c r="D250" s="359">
        <f t="shared" ca="1" si="95"/>
        <v>15.052417789482204</v>
      </c>
      <c r="E250" s="360">
        <f t="shared" ca="1" si="96"/>
        <v>55.694710030656921</v>
      </c>
      <c r="F250" s="357">
        <f t="shared" ca="1" si="97"/>
        <v>57.692945900760492</v>
      </c>
      <c r="G250" s="359">
        <f t="shared" ca="1" si="98"/>
        <v>38.465545088635324</v>
      </c>
      <c r="H250" s="360">
        <f t="shared" ca="1" si="99"/>
        <v>167.29523258227962</v>
      </c>
      <c r="I250" s="357">
        <f t="shared" ca="1" si="100"/>
        <v>171.66040022009989</v>
      </c>
      <c r="J250" s="359">
        <f t="shared" ca="1" si="101"/>
        <v>45.934056255018298</v>
      </c>
      <c r="K250" s="360">
        <f t="shared" ca="1" si="102"/>
        <v>213.52244769683969</v>
      </c>
      <c r="L250" s="357">
        <f t="shared" ca="1" si="87"/>
        <v>218.40735609060613</v>
      </c>
      <c r="M250" s="359">
        <f t="shared" ca="1" si="103"/>
        <v>1.3447981002824441</v>
      </c>
      <c r="N250" s="357">
        <f t="shared" ca="1" si="104"/>
        <v>77.051255443394879</v>
      </c>
      <c r="O250" s="343"/>
      <c r="P250" s="363">
        <f t="shared" ca="1" si="105"/>
        <v>9</v>
      </c>
      <c r="Q250" s="357">
        <f t="shared" ca="1" si="106"/>
        <v>840.37500000000182</v>
      </c>
      <c r="R250" s="359">
        <f t="shared" ca="1" si="107"/>
        <v>0.42097094873708601</v>
      </c>
      <c r="S250" s="360">
        <f t="shared" ca="1" si="108"/>
        <v>11.310728357312604</v>
      </c>
      <c r="T250" s="357">
        <f t="shared" ca="1" si="88"/>
        <v>110.95824518523665</v>
      </c>
      <c r="U250" s="364">
        <f t="shared" ca="1" si="89"/>
        <v>0</v>
      </c>
      <c r="V250" s="359">
        <f t="shared" ca="1" si="90"/>
        <v>1.1991198003360932</v>
      </c>
      <c r="W250" s="357">
        <f t="shared" ca="1" si="91"/>
        <v>80.686886677738073</v>
      </c>
      <c r="X250" s="343"/>
      <c r="Y250" s="367" t="str">
        <f t="shared" ca="1" si="109"/>
        <v/>
      </c>
      <c r="Z250" s="368" t="str">
        <f t="shared" ca="1" si="110"/>
        <v/>
      </c>
      <c r="AA250" s="369" t="str">
        <f t="shared" ca="1" si="111"/>
        <v/>
      </c>
      <c r="AB250" s="344"/>
      <c r="AC250" s="363" t="e">
        <f t="shared" ca="1" si="112"/>
        <v>#N/A</v>
      </c>
      <c r="AD250" s="376" t="e">
        <f t="shared" ca="1" si="113"/>
        <v>#N/A</v>
      </c>
      <c r="AE250" s="377">
        <f t="shared" ca="1" si="92"/>
        <v>213.52244769683969</v>
      </c>
      <c r="AF250" s="344"/>
      <c r="AG250" s="359">
        <f t="shared" ca="1" si="114"/>
        <v>57.651099052967709</v>
      </c>
      <c r="AH250" s="357">
        <f t="shared" ca="1" si="115"/>
        <v>67.211920947920888</v>
      </c>
    </row>
    <row r="251" spans="1:34" x14ac:dyDescent="0.25">
      <c r="A251" s="402">
        <f t="shared" ca="1" si="93"/>
        <v>0.01</v>
      </c>
      <c r="B251" s="357">
        <f t="shared" ca="1" si="94"/>
        <v>2.4699999999999913</v>
      </c>
      <c r="C251" s="342"/>
      <c r="D251" s="359">
        <f t="shared" ca="1" si="95"/>
        <v>15.015309433836613</v>
      </c>
      <c r="E251" s="360">
        <f t="shared" ca="1" si="96"/>
        <v>55.494928819811832</v>
      </c>
      <c r="F251" s="357">
        <f t="shared" ca="1" si="97"/>
        <v>57.490404782970913</v>
      </c>
      <c r="G251" s="359">
        <f t="shared" ca="1" si="98"/>
        <v>38.615698182973688</v>
      </c>
      <c r="H251" s="360">
        <f t="shared" ca="1" si="99"/>
        <v>167.85018187047774</v>
      </c>
      <c r="I251" s="357">
        <f t="shared" ca="1" si="100"/>
        <v>172.23488525879702</v>
      </c>
      <c r="J251" s="359">
        <f t="shared" ca="1" si="101"/>
        <v>46.31946247137634</v>
      </c>
      <c r="K251" s="360">
        <f t="shared" ca="1" si="102"/>
        <v>215.19817476910347</v>
      </c>
      <c r="L251" s="357">
        <f t="shared" ca="1" si="87"/>
        <v>220.12666132840619</v>
      </c>
      <c r="M251" s="359">
        <f t="shared" ca="1" si="103"/>
        <v>1.3446704711965047</v>
      </c>
      <c r="N251" s="357">
        <f t="shared" ca="1" si="104"/>
        <v>77.043942835427444</v>
      </c>
      <c r="O251" s="343"/>
      <c r="P251" s="363">
        <f t="shared" ca="1" si="105"/>
        <v>9</v>
      </c>
      <c r="Q251" s="357">
        <f t="shared" ca="1" si="106"/>
        <v>838.32500000000175</v>
      </c>
      <c r="R251" s="359">
        <f t="shared" ca="1" si="107"/>
        <v>0.41994403760228183</v>
      </c>
      <c r="S251" s="360">
        <f t="shared" ca="1" si="108"/>
        <v>11.30652891693658</v>
      </c>
      <c r="T251" s="357">
        <f t="shared" ca="1" si="88"/>
        <v>110.91704867514785</v>
      </c>
      <c r="U251" s="364">
        <f t="shared" ca="1" si="89"/>
        <v>0</v>
      </c>
      <c r="V251" s="359">
        <f t="shared" ca="1" si="90"/>
        <v>1.1989188543379035</v>
      </c>
      <c r="W251" s="357">
        <f t="shared" ca="1" si="91"/>
        <v>81.214237808419085</v>
      </c>
      <c r="X251" s="343"/>
      <c r="Y251" s="367" t="str">
        <f t="shared" ca="1" si="109"/>
        <v/>
      </c>
      <c r="Z251" s="368" t="str">
        <f t="shared" ca="1" si="110"/>
        <v/>
      </c>
      <c r="AA251" s="369" t="str">
        <f t="shared" ca="1" si="111"/>
        <v/>
      </c>
      <c r="AB251" s="344"/>
      <c r="AC251" s="363" t="e">
        <f t="shared" ca="1" si="112"/>
        <v>#N/A</v>
      </c>
      <c r="AD251" s="376" t="e">
        <f t="shared" ca="1" si="113"/>
        <v>#N/A</v>
      </c>
      <c r="AE251" s="377">
        <f t="shared" ca="1" si="92"/>
        <v>215.19817476910347</v>
      </c>
      <c r="AF251" s="344"/>
      <c r="AG251" s="359">
        <f t="shared" ca="1" si="114"/>
        <v>57.448363591429057</v>
      </c>
      <c r="AH251" s="357">
        <f t="shared" ca="1" si="115"/>
        <v>67.008904225890404</v>
      </c>
    </row>
    <row r="252" spans="1:34" x14ac:dyDescent="0.25">
      <c r="A252" s="402">
        <f t="shared" ca="1" si="93"/>
        <v>0.01</v>
      </c>
      <c r="B252" s="357">
        <f t="shared" ca="1" si="94"/>
        <v>2.4799999999999911</v>
      </c>
      <c r="C252" s="342"/>
      <c r="D252" s="359">
        <f t="shared" ca="1" si="95"/>
        <v>14.978085850752041</v>
      </c>
      <c r="E252" s="360">
        <f t="shared" ca="1" si="96"/>
        <v>55.294984563735156</v>
      </c>
      <c r="F252" s="357">
        <f t="shared" ca="1" si="97"/>
        <v>57.287680819319327</v>
      </c>
      <c r="G252" s="359">
        <f t="shared" ca="1" si="98"/>
        <v>38.765479041481207</v>
      </c>
      <c r="H252" s="360">
        <f t="shared" ca="1" si="99"/>
        <v>168.4031317161151</v>
      </c>
      <c r="I252" s="357">
        <f t="shared" ca="1" si="100"/>
        <v>172.80734109727726</v>
      </c>
      <c r="J252" s="359">
        <f t="shared" ca="1" si="101"/>
        <v>46.706368357498611</v>
      </c>
      <c r="K252" s="360">
        <f t="shared" ca="1" si="102"/>
        <v>216.87944133703644</v>
      </c>
      <c r="L252" s="357">
        <f t="shared" ca="1" si="87"/>
        <v>221.85170028605003</v>
      </c>
      <c r="M252" s="359">
        <f t="shared" ca="1" si="103"/>
        <v>1.3445431942956276</v>
      </c>
      <c r="N252" s="357">
        <f t="shared" ca="1" si="104"/>
        <v>77.036650406177685</v>
      </c>
      <c r="O252" s="343"/>
      <c r="P252" s="363">
        <f t="shared" ca="1" si="105"/>
        <v>9</v>
      </c>
      <c r="Q252" s="357">
        <f t="shared" ca="1" si="106"/>
        <v>836.2750000000018</v>
      </c>
      <c r="R252" s="359">
        <f t="shared" ca="1" si="107"/>
        <v>0.41891712646747775</v>
      </c>
      <c r="S252" s="360">
        <f t="shared" ca="1" si="108"/>
        <v>11.302339745671905</v>
      </c>
      <c r="T252" s="357">
        <f t="shared" ca="1" si="88"/>
        <v>110.87595290504139</v>
      </c>
      <c r="U252" s="364">
        <f t="shared" ca="1" si="89"/>
        <v>0</v>
      </c>
      <c r="V252" s="359">
        <f t="shared" ca="1" si="90"/>
        <v>1.1987172775443626</v>
      </c>
      <c r="W252" s="357">
        <f t="shared" ca="1" si="91"/>
        <v>81.741251679888848</v>
      </c>
      <c r="X252" s="343"/>
      <c r="Y252" s="367" t="str">
        <f t="shared" ca="1" si="109"/>
        <v/>
      </c>
      <c r="Z252" s="368" t="str">
        <f t="shared" ca="1" si="110"/>
        <v/>
      </c>
      <c r="AA252" s="369" t="str">
        <f t="shared" ca="1" si="111"/>
        <v/>
      </c>
      <c r="AB252" s="344"/>
      <c r="AC252" s="363" t="e">
        <f t="shared" ca="1" si="112"/>
        <v>#N/A</v>
      </c>
      <c r="AD252" s="376" t="e">
        <f t="shared" ca="1" si="113"/>
        <v>#N/A</v>
      </c>
      <c r="AE252" s="377">
        <f t="shared" ca="1" si="92"/>
        <v>216.87944133703644</v>
      </c>
      <c r="AF252" s="344"/>
      <c r="AG252" s="359">
        <f t="shared" ca="1" si="114"/>
        <v>57.245443879180257</v>
      </c>
      <c r="AH252" s="357">
        <f t="shared" ca="1" si="115"/>
        <v>66.805703879209986</v>
      </c>
    </row>
    <row r="253" spans="1:34" x14ac:dyDescent="0.25">
      <c r="A253" s="402">
        <f t="shared" ca="1" si="93"/>
        <v>0.01</v>
      </c>
      <c r="B253" s="357">
        <f t="shared" ca="1" si="94"/>
        <v>2.4899999999999909</v>
      </c>
      <c r="C253" s="342"/>
      <c r="D253" s="359">
        <f t="shared" ca="1" si="95"/>
        <v>14.940747930204067</v>
      </c>
      <c r="E253" s="360">
        <f t="shared" ca="1" si="96"/>
        <v>55.094879388568799</v>
      </c>
      <c r="F253" s="357">
        <f t="shared" ca="1" si="97"/>
        <v>57.084776285405908</v>
      </c>
      <c r="G253" s="359">
        <f t="shared" ca="1" si="98"/>
        <v>38.914886520783249</v>
      </c>
      <c r="H253" s="360">
        <f t="shared" ca="1" si="99"/>
        <v>168.95408051000078</v>
      </c>
      <c r="I253" s="357">
        <f t="shared" ca="1" si="100"/>
        <v>173.37776591565961</v>
      </c>
      <c r="J253" s="359">
        <f t="shared" ca="1" si="101"/>
        <v>47.094770185309933</v>
      </c>
      <c r="K253" s="360">
        <f t="shared" ca="1" si="102"/>
        <v>218.56622739816703</v>
      </c>
      <c r="L253" s="357">
        <f t="shared" ca="1" si="87"/>
        <v>223.58245266092422</v>
      </c>
      <c r="M253" s="359">
        <f t="shared" ca="1" si="103"/>
        <v>1.3444162659635452</v>
      </c>
      <c r="N253" s="357">
        <f t="shared" ca="1" si="104"/>
        <v>77.029377948448726</v>
      </c>
      <c r="O253" s="343"/>
      <c r="P253" s="363">
        <f t="shared" ca="1" si="105"/>
        <v>9</v>
      </c>
      <c r="Q253" s="357">
        <f t="shared" ca="1" si="106"/>
        <v>834.22500000000184</v>
      </c>
      <c r="R253" s="359">
        <f t="shared" ca="1" si="107"/>
        <v>0.41789021533267362</v>
      </c>
      <c r="S253" s="360">
        <f t="shared" ca="1" si="108"/>
        <v>11.298160843518577</v>
      </c>
      <c r="T253" s="357">
        <f t="shared" ca="1" si="88"/>
        <v>110.83495787491725</v>
      </c>
      <c r="U253" s="364">
        <f t="shared" ca="1" si="89"/>
        <v>0</v>
      </c>
      <c r="V253" s="359">
        <f t="shared" ca="1" si="90"/>
        <v>1.1985150726761293</v>
      </c>
      <c r="W253" s="357">
        <f t="shared" ca="1" si="91"/>
        <v>82.267906880383208</v>
      </c>
      <c r="X253" s="343"/>
      <c r="Y253" s="367" t="str">
        <f t="shared" ca="1" si="109"/>
        <v/>
      </c>
      <c r="Z253" s="368" t="str">
        <f t="shared" ca="1" si="110"/>
        <v/>
      </c>
      <c r="AA253" s="369" t="str">
        <f t="shared" ca="1" si="111"/>
        <v/>
      </c>
      <c r="AB253" s="344"/>
      <c r="AC253" s="363" t="e">
        <f t="shared" ca="1" si="112"/>
        <v>#N/A</v>
      </c>
      <c r="AD253" s="376" t="e">
        <f t="shared" ca="1" si="113"/>
        <v>#N/A</v>
      </c>
      <c r="AE253" s="377">
        <f t="shared" ca="1" si="92"/>
        <v>218.56622739816703</v>
      </c>
      <c r="AF253" s="344"/>
      <c r="AG253" s="359">
        <f t="shared" ca="1" si="114"/>
        <v>57.042342175498682</v>
      </c>
      <c r="AH253" s="357">
        <f t="shared" ca="1" si="115"/>
        <v>66.602322160406388</v>
      </c>
    </row>
    <row r="254" spans="1:34" x14ac:dyDescent="0.25">
      <c r="A254" s="402">
        <f t="shared" ca="1" si="93"/>
        <v>0.01</v>
      </c>
      <c r="B254" s="357">
        <f t="shared" ca="1" si="94"/>
        <v>2.4999999999999907</v>
      </c>
      <c r="C254" s="342"/>
      <c r="D254" s="359">
        <f t="shared" ca="1" si="95"/>
        <v>14.903296557056352</v>
      </c>
      <c r="E254" s="360">
        <f t="shared" ca="1" si="96"/>
        <v>54.894615418075176</v>
      </c>
      <c r="F254" s="357">
        <f t="shared" ca="1" si="97"/>
        <v>56.881693453746124</v>
      </c>
      <c r="G254" s="359">
        <f t="shared" ca="1" si="98"/>
        <v>39.063919486353811</v>
      </c>
      <c r="H254" s="360">
        <f t="shared" ca="1" si="99"/>
        <v>169.50302666418153</v>
      </c>
      <c r="I254" s="357">
        <f t="shared" ca="1" si="100"/>
        <v>173.9461579166225</v>
      </c>
      <c r="J254" s="359">
        <f t="shared" ca="1" si="101"/>
        <v>47.484664215345617</v>
      </c>
      <c r="K254" s="360">
        <f t="shared" ca="1" si="102"/>
        <v>220.25851293403795</v>
      </c>
      <c r="L254" s="357">
        <f t="shared" ca="1" si="87"/>
        <v>225.31889813230913</v>
      </c>
      <c r="M254" s="359">
        <f t="shared" ca="1" si="103"/>
        <v>1.3442896826284652</v>
      </c>
      <c r="N254" s="357">
        <f t="shared" ca="1" si="104"/>
        <v>77.022125257591952</v>
      </c>
      <c r="O254" s="343"/>
      <c r="P254" s="363">
        <f t="shared" ca="1" si="105"/>
        <v>9</v>
      </c>
      <c r="Q254" s="357">
        <f t="shared" ca="1" si="106"/>
        <v>832.17500000000189</v>
      </c>
      <c r="R254" s="359">
        <f t="shared" ca="1" si="107"/>
        <v>0.41686330419786954</v>
      </c>
      <c r="S254" s="360">
        <f t="shared" ca="1" si="108"/>
        <v>11.293992210476599</v>
      </c>
      <c r="T254" s="357">
        <f t="shared" ca="1" si="88"/>
        <v>110.79406358477544</v>
      </c>
      <c r="U254" s="364">
        <f t="shared" ca="1" si="89"/>
        <v>0</v>
      </c>
      <c r="V254" s="359">
        <f t="shared" ca="1" si="90"/>
        <v>1.1983122424550998</v>
      </c>
      <c r="W254" s="357">
        <f t="shared" ca="1" si="91"/>
        <v>82.794182084003481</v>
      </c>
      <c r="X254" s="343"/>
      <c r="Y254" s="367" t="str">
        <f t="shared" ca="1" si="109"/>
        <v/>
      </c>
      <c r="Z254" s="368" t="str">
        <f t="shared" ca="1" si="110"/>
        <v/>
      </c>
      <c r="AA254" s="369" t="str">
        <f t="shared" ca="1" si="111"/>
        <v/>
      </c>
      <c r="AB254" s="344"/>
      <c r="AC254" s="363" t="e">
        <f t="shared" ca="1" si="112"/>
        <v>#N/A</v>
      </c>
      <c r="AD254" s="376" t="e">
        <f t="shared" ca="1" si="113"/>
        <v>#N/A</v>
      </c>
      <c r="AE254" s="377">
        <f t="shared" ca="1" si="92"/>
        <v>220.25851293403795</v>
      </c>
      <c r="AF254" s="344"/>
      <c r="AG254" s="359">
        <f t="shared" ca="1" si="114"/>
        <v>56.839060736359123</v>
      </c>
      <c r="AH254" s="357">
        <f t="shared" ca="1" si="115"/>
        <v>66.398761318781993</v>
      </c>
    </row>
    <row r="255" spans="1:34" x14ac:dyDescent="0.25">
      <c r="A255" s="402">
        <f t="shared" ca="1" si="93"/>
        <v>0.01</v>
      </c>
      <c r="B255" s="357">
        <f t="shared" ca="1" si="94"/>
        <v>2.5099999999999905</v>
      </c>
      <c r="C255" s="342"/>
      <c r="D255" s="359">
        <f t="shared" ca="1" si="95"/>
        <v>14.865732611124068</v>
      </c>
      <c r="E255" s="360">
        <f t="shared" ca="1" si="96"/>
        <v>54.694194773547778</v>
      </c>
      <c r="F255" s="357">
        <f t="shared" ca="1" si="97"/>
        <v>56.678434593699031</v>
      </c>
      <c r="G255" s="359">
        <f t="shared" ca="1" si="98"/>
        <v>39.212576812465052</v>
      </c>
      <c r="H255" s="360">
        <f t="shared" ca="1" si="99"/>
        <v>170.04996861191702</v>
      </c>
      <c r="I255" s="357">
        <f t="shared" ca="1" si="100"/>
        <v>174.51251532536983</v>
      </c>
      <c r="J255" s="359">
        <f t="shared" ca="1" si="101"/>
        <v>47.876046696839708</v>
      </c>
      <c r="K255" s="360">
        <f t="shared" ca="1" si="102"/>
        <v>221.95627791041844</v>
      </c>
      <c r="L255" s="357">
        <f t="shared" ca="1" si="87"/>
        <v>227.0610163616046</v>
      </c>
      <c r="M255" s="359">
        <f t="shared" ca="1" si="103"/>
        <v>1.3441634407622962</v>
      </c>
      <c r="N255" s="357">
        <f t="shared" ca="1" si="104"/>
        <v>77.014892131462616</v>
      </c>
      <c r="O255" s="343"/>
      <c r="P255" s="363">
        <f t="shared" ca="1" si="105"/>
        <v>9</v>
      </c>
      <c r="Q255" s="357">
        <f t="shared" ca="1" si="106"/>
        <v>830.12500000000193</v>
      </c>
      <c r="R255" s="359">
        <f t="shared" ca="1" si="107"/>
        <v>0.41583639306306541</v>
      </c>
      <c r="S255" s="360">
        <f t="shared" ca="1" si="108"/>
        <v>11.289833846545969</v>
      </c>
      <c r="T255" s="357">
        <f t="shared" ca="1" si="88"/>
        <v>110.75327003461597</v>
      </c>
      <c r="U255" s="364">
        <f t="shared" ca="1" si="89"/>
        <v>0</v>
      </c>
      <c r="V255" s="359">
        <f t="shared" ca="1" si="90"/>
        <v>1.1981087896043696</v>
      </c>
      <c r="W255" s="357">
        <f t="shared" ca="1" si="91"/>
        <v>83.320056051285135</v>
      </c>
      <c r="X255" s="343"/>
      <c r="Y255" s="367" t="str">
        <f t="shared" ca="1" si="109"/>
        <v/>
      </c>
      <c r="Z255" s="368" t="str">
        <f t="shared" ca="1" si="110"/>
        <v/>
      </c>
      <c r="AA255" s="369" t="str">
        <f t="shared" ca="1" si="111"/>
        <v/>
      </c>
      <c r="AB255" s="344"/>
      <c r="AC255" s="363" t="e">
        <f t="shared" ca="1" si="112"/>
        <v>#N/A</v>
      </c>
      <c r="AD255" s="376" t="e">
        <f t="shared" ca="1" si="113"/>
        <v>#N/A</v>
      </c>
      <c r="AE255" s="377">
        <f t="shared" ca="1" si="92"/>
        <v>221.95627791041844</v>
      </c>
      <c r="AF255" s="344"/>
      <c r="AG255" s="359">
        <f t="shared" ca="1" si="114"/>
        <v>56.635601814357742</v>
      </c>
      <c r="AH255" s="357">
        <f t="shared" ca="1" si="115"/>
        <v>66.195023600337407</v>
      </c>
    </row>
    <row r="256" spans="1:34" x14ac:dyDescent="0.25">
      <c r="A256" s="402">
        <f t="shared" ca="1" si="93"/>
        <v>0.01</v>
      </c>
      <c r="B256" s="357">
        <f t="shared" ca="1" si="94"/>
        <v>2.5199999999999902</v>
      </c>
      <c r="C256" s="342"/>
      <c r="D256" s="359">
        <f t="shared" ca="1" si="95"/>
        <v>14.828056967235538</v>
      </c>
      <c r="E256" s="360">
        <f t="shared" ca="1" si="96"/>
        <v>54.49361957372237</v>
      </c>
      <c r="F256" s="357">
        <f t="shared" ca="1" si="97"/>
        <v>56.475001971395805</v>
      </c>
      <c r="G256" s="359">
        <f t="shared" ca="1" si="98"/>
        <v>39.360857382137411</v>
      </c>
      <c r="H256" s="360">
        <f t="shared" ca="1" si="99"/>
        <v>170.59490480765425</v>
      </c>
      <c r="I256" s="357">
        <f t="shared" ca="1" si="100"/>
        <v>175.07683638959659</v>
      </c>
      <c r="J256" s="359">
        <f t="shared" ca="1" si="101"/>
        <v>48.268913867812721</v>
      </c>
      <c r="K256" s="360">
        <f t="shared" ca="1" si="102"/>
        <v>223.65950227751628</v>
      </c>
      <c r="L256" s="357">
        <f t="shared" ca="1" si="87"/>
        <v>228.8087869925555</v>
      </c>
      <c r="M256" s="359">
        <f t="shared" ca="1" si="103"/>
        <v>1.3440375368798887</v>
      </c>
      <c r="N256" s="357">
        <f t="shared" ca="1" si="104"/>
        <v>77.007678370376354</v>
      </c>
      <c r="O256" s="343"/>
      <c r="P256" s="363">
        <f t="shared" ca="1" si="105"/>
        <v>9</v>
      </c>
      <c r="Q256" s="357">
        <f t="shared" ca="1" si="106"/>
        <v>828.07500000000198</v>
      </c>
      <c r="R256" s="359">
        <f t="shared" ca="1" si="107"/>
        <v>0.41480948192826128</v>
      </c>
      <c r="S256" s="360">
        <f t="shared" ca="1" si="108"/>
        <v>11.285685751726687</v>
      </c>
      <c r="T256" s="357">
        <f t="shared" ca="1" si="88"/>
        <v>110.7125772244388</v>
      </c>
      <c r="U256" s="364">
        <f t="shared" ca="1" si="89"/>
        <v>0</v>
      </c>
      <c r="V256" s="359">
        <f t="shared" ca="1" si="90"/>
        <v>1.1979047168481947</v>
      </c>
      <c r="W256" s="357">
        <f t="shared" ca="1" si="91"/>
        <v>83.845507629759794</v>
      </c>
      <c r="X256" s="343"/>
      <c r="Y256" s="367" t="str">
        <f t="shared" ca="1" si="109"/>
        <v/>
      </c>
      <c r="Z256" s="368" t="str">
        <f t="shared" ca="1" si="110"/>
        <v/>
      </c>
      <c r="AA256" s="369" t="str">
        <f t="shared" ca="1" si="111"/>
        <v/>
      </c>
      <c r="AB256" s="344"/>
      <c r="AC256" s="363" t="e">
        <f t="shared" ca="1" si="112"/>
        <v>#N/A</v>
      </c>
      <c r="AD256" s="376" t="e">
        <f t="shared" ca="1" si="113"/>
        <v>#N/A</v>
      </c>
      <c r="AE256" s="377">
        <f t="shared" ca="1" si="92"/>
        <v>223.65950227751628</v>
      </c>
      <c r="AF256" s="344"/>
      <c r="AG256" s="359">
        <f t="shared" ca="1" si="114"/>
        <v>56.431967658636452</v>
      </c>
      <c r="AH256" s="357">
        <f t="shared" ca="1" si="115"/>
        <v>65.991111247694519</v>
      </c>
    </row>
    <row r="257" spans="1:34" x14ac:dyDescent="0.25">
      <c r="A257" s="402">
        <f t="shared" ca="1" si="93"/>
        <v>0.01</v>
      </c>
      <c r="B257" s="357">
        <f t="shared" ca="1" si="94"/>
        <v>2.52999999999999</v>
      </c>
      <c r="C257" s="342"/>
      <c r="D257" s="359">
        <f t="shared" ca="1" si="95"/>
        <v>14.790270495292388</v>
      </c>
      <c r="E257" s="360">
        <f t="shared" ca="1" si="96"/>
        <v>54.292891934689081</v>
      </c>
      <c r="F257" s="357">
        <f t="shared" ca="1" si="97"/>
        <v>56.271397849669093</v>
      </c>
      <c r="G257" s="359">
        <f t="shared" ca="1" si="98"/>
        <v>39.508760087090337</v>
      </c>
      <c r="H257" s="360">
        <f t="shared" ca="1" si="99"/>
        <v>171.13783372700112</v>
      </c>
      <c r="I257" s="357">
        <f t="shared" ca="1" si="100"/>
        <v>175.63911937945358</v>
      </c>
      <c r="J257" s="359">
        <f t="shared" ca="1" si="101"/>
        <v>48.663261955158859</v>
      </c>
      <c r="K257" s="360">
        <f t="shared" ca="1" si="102"/>
        <v>225.36816597018955</v>
      </c>
      <c r="L257" s="357">
        <f t="shared" ca="1" si="87"/>
        <v>230.56218965147627</v>
      </c>
      <c r="M257" s="359">
        <f t="shared" ca="1" si="103"/>
        <v>1.3439119675382925</v>
      </c>
      <c r="N257" s="357">
        <f t="shared" ca="1" si="104"/>
        <v>77.000483777066648</v>
      </c>
      <c r="O257" s="343"/>
      <c r="P257" s="363">
        <f t="shared" ca="1" si="105"/>
        <v>9</v>
      </c>
      <c r="Q257" s="357">
        <f t="shared" ca="1" si="106"/>
        <v>826.02500000000202</v>
      </c>
      <c r="R257" s="359">
        <f t="shared" ca="1" si="107"/>
        <v>0.41378257079345721</v>
      </c>
      <c r="S257" s="360">
        <f t="shared" ca="1" si="108"/>
        <v>11.281547926018753</v>
      </c>
      <c r="T257" s="357">
        <f t="shared" ca="1" si="88"/>
        <v>110.67198515424397</v>
      </c>
      <c r="U257" s="364">
        <f t="shared" ca="1" si="89"/>
        <v>0</v>
      </c>
      <c r="V257" s="359">
        <f t="shared" ca="1" si="90"/>
        <v>1.1977000269119462</v>
      </c>
      <c r="W257" s="357">
        <f t="shared" ca="1" si="91"/>
        <v>84.370515754509441</v>
      </c>
      <c r="X257" s="343"/>
      <c r="Y257" s="367" t="str">
        <f t="shared" ca="1" si="109"/>
        <v/>
      </c>
      <c r="Z257" s="368" t="str">
        <f t="shared" ca="1" si="110"/>
        <v/>
      </c>
      <c r="AA257" s="369" t="str">
        <f t="shared" ca="1" si="111"/>
        <v/>
      </c>
      <c r="AB257" s="344"/>
      <c r="AC257" s="363" t="e">
        <f t="shared" ca="1" si="112"/>
        <v>#N/A</v>
      </c>
      <c r="AD257" s="376" t="e">
        <f t="shared" ca="1" si="113"/>
        <v>#N/A</v>
      </c>
      <c r="AE257" s="377">
        <f t="shared" ca="1" si="92"/>
        <v>225.36816597018955</v>
      </c>
      <c r="AF257" s="344"/>
      <c r="AG257" s="359">
        <f t="shared" ca="1" si="114"/>
        <v>56.228160514807811</v>
      </c>
      <c r="AH257" s="357">
        <f t="shared" ca="1" si="115"/>
        <v>65.787026500020076</v>
      </c>
    </row>
    <row r="258" spans="1:34" x14ac:dyDescent="0.25">
      <c r="A258" s="402">
        <f t="shared" ca="1" si="93"/>
        <v>0.01</v>
      </c>
      <c r="B258" s="357">
        <f t="shared" ca="1" si="94"/>
        <v>2.5399999999999898</v>
      </c>
      <c r="C258" s="342"/>
      <c r="D258" s="359">
        <f t="shared" ca="1" si="95"/>
        <v>14.752374060327943</v>
      </c>
      <c r="E258" s="360">
        <f t="shared" ca="1" si="96"/>
        <v>54.092013969805166</v>
      </c>
      <c r="F258" s="357">
        <f t="shared" ca="1" si="97"/>
        <v>56.06762448798267</v>
      </c>
      <c r="G258" s="359">
        <f t="shared" ca="1" si="98"/>
        <v>39.656283827693613</v>
      </c>
      <c r="H258" s="360">
        <f t="shared" ca="1" si="99"/>
        <v>171.67875386669917</v>
      </c>
      <c r="I258" s="357">
        <f t="shared" ca="1" si="100"/>
        <v>176.19936258751127</v>
      </c>
      <c r="J258" s="359">
        <f t="shared" ca="1" si="101"/>
        <v>49.059087174732781</v>
      </c>
      <c r="K258" s="360">
        <f t="shared" ca="1" si="102"/>
        <v>227.08224890815805</v>
      </c>
      <c r="L258" s="357">
        <f t="shared" ca="1" si="87"/>
        <v>232.32120394747588</v>
      </c>
      <c r="M258" s="359">
        <f t="shared" ca="1" si="103"/>
        <v>1.3437867293360322</v>
      </c>
      <c r="N258" s="357">
        <f t="shared" ca="1" si="104"/>
        <v>76.993308156643337</v>
      </c>
      <c r="O258" s="343"/>
      <c r="P258" s="363">
        <f t="shared" ca="1" si="105"/>
        <v>9</v>
      </c>
      <c r="Q258" s="357">
        <f t="shared" ca="1" si="106"/>
        <v>823.97500000000207</v>
      </c>
      <c r="R258" s="359">
        <f t="shared" ca="1" si="107"/>
        <v>0.41275565965865307</v>
      </c>
      <c r="S258" s="360">
        <f t="shared" ca="1" si="108"/>
        <v>11.277420369422167</v>
      </c>
      <c r="T258" s="357">
        <f t="shared" ca="1" si="88"/>
        <v>110.63149382403147</v>
      </c>
      <c r="U258" s="364">
        <f t="shared" ca="1" si="89"/>
        <v>0</v>
      </c>
      <c r="V258" s="359">
        <f t="shared" ca="1" si="90"/>
        <v>1.1974947225220771</v>
      </c>
      <c r="W258" s="357">
        <f t="shared" ca="1" si="91"/>
        <v>84.89505944871452</v>
      </c>
      <c r="X258" s="343"/>
      <c r="Y258" s="367" t="str">
        <f t="shared" ca="1" si="109"/>
        <v/>
      </c>
      <c r="Z258" s="368" t="str">
        <f t="shared" ca="1" si="110"/>
        <v/>
      </c>
      <c r="AA258" s="369" t="str">
        <f t="shared" ca="1" si="111"/>
        <v/>
      </c>
      <c r="AB258" s="344"/>
      <c r="AC258" s="363" t="e">
        <f t="shared" ca="1" si="112"/>
        <v>#N/A</v>
      </c>
      <c r="AD258" s="376" t="e">
        <f t="shared" ca="1" si="113"/>
        <v>#N/A</v>
      </c>
      <c r="AE258" s="377">
        <f t="shared" ca="1" si="92"/>
        <v>227.08224890815805</v>
      </c>
      <c r="AF258" s="344"/>
      <c r="AG258" s="359">
        <f t="shared" ca="1" si="114"/>
        <v>56.024182624880247</v>
      </c>
      <c r="AH258" s="357">
        <f t="shared" ca="1" si="115"/>
        <v>65.582771592949712</v>
      </c>
    </row>
    <row r="259" spans="1:34" x14ac:dyDescent="0.25">
      <c r="A259" s="402">
        <f t="shared" ca="1" si="93"/>
        <v>0.01</v>
      </c>
      <c r="B259" s="357">
        <f t="shared" ca="1" si="94"/>
        <v>2.5499999999999896</v>
      </c>
      <c r="C259" s="342"/>
      <c r="D259" s="359">
        <f t="shared" ca="1" si="95"/>
        <v>14.714368522563992</v>
      </c>
      <c r="E259" s="360">
        <f t="shared" ca="1" si="96"/>
        <v>53.890987789608765</v>
      </c>
      <c r="F259" s="357">
        <f t="shared" ca="1" si="97"/>
        <v>55.863684142361961</v>
      </c>
      <c r="G259" s="359">
        <f t="shared" ca="1" si="98"/>
        <v>39.803427512919257</v>
      </c>
      <c r="H259" s="360">
        <f t="shared" ca="1" si="99"/>
        <v>172.21766374459526</v>
      </c>
      <c r="I259" s="357">
        <f t="shared" ca="1" si="100"/>
        <v>176.75756432872313</v>
      </c>
      <c r="J259" s="359">
        <f t="shared" ca="1" si="101"/>
        <v>49.456385731435844</v>
      </c>
      <c r="K259" s="360">
        <f t="shared" ca="1" si="102"/>
        <v>228.80173099621453</v>
      </c>
      <c r="L259" s="357">
        <f t="shared" ca="1" si="87"/>
        <v>234.0858094726818</v>
      </c>
      <c r="M259" s="359">
        <f t="shared" ca="1" si="103"/>
        <v>1.3436618189123941</v>
      </c>
      <c r="N259" s="357">
        <f t="shared" ca="1" si="104"/>
        <v>76.986151316551684</v>
      </c>
      <c r="O259" s="343"/>
      <c r="P259" s="363">
        <f t="shared" ca="1" si="105"/>
        <v>9</v>
      </c>
      <c r="Q259" s="357">
        <f t="shared" ca="1" si="106"/>
        <v>821.92500000000211</v>
      </c>
      <c r="R259" s="359">
        <f t="shared" ca="1" si="107"/>
        <v>0.41172874852384894</v>
      </c>
      <c r="S259" s="360">
        <f t="shared" ca="1" si="108"/>
        <v>11.273303081936929</v>
      </c>
      <c r="T259" s="357">
        <f t="shared" ca="1" si="88"/>
        <v>110.59110323380128</v>
      </c>
      <c r="U259" s="364">
        <f t="shared" ca="1" si="89"/>
        <v>0</v>
      </c>
      <c r="V259" s="359">
        <f t="shared" ca="1" si="90"/>
        <v>1.1972888064060767</v>
      </c>
      <c r="W259" s="357">
        <f t="shared" ca="1" si="91"/>
        <v>85.419117824194075</v>
      </c>
      <c r="X259" s="343"/>
      <c r="Y259" s="367" t="str">
        <f t="shared" ca="1" si="109"/>
        <v/>
      </c>
      <c r="Z259" s="368" t="str">
        <f t="shared" ca="1" si="110"/>
        <v/>
      </c>
      <c r="AA259" s="369" t="str">
        <f t="shared" ca="1" si="111"/>
        <v/>
      </c>
      <c r="AB259" s="344"/>
      <c r="AC259" s="363" t="e">
        <f t="shared" ca="1" si="112"/>
        <v>#N/A</v>
      </c>
      <c r="AD259" s="376" t="e">
        <f t="shared" ca="1" si="113"/>
        <v>#N/A</v>
      </c>
      <c r="AE259" s="377">
        <f t="shared" ca="1" si="92"/>
        <v>228.80173099621453</v>
      </c>
      <c r="AF259" s="344"/>
      <c r="AG259" s="359">
        <f t="shared" ca="1" si="114"/>
        <v>55.820036227184026</v>
      </c>
      <c r="AH259" s="357">
        <f t="shared" ca="1" si="115"/>
        <v>65.378348758512615</v>
      </c>
    </row>
    <row r="260" spans="1:34" x14ac:dyDescent="0.25">
      <c r="A260" s="402">
        <f t="shared" ca="1" si="93"/>
        <v>0.01</v>
      </c>
      <c r="B260" s="357">
        <f t="shared" ca="1" si="94"/>
        <v>2.5599999999999894</v>
      </c>
      <c r="C260" s="342"/>
      <c r="D260" s="359">
        <f t="shared" ca="1" si="95"/>
        <v>14.676254737466238</v>
      </c>
      <c r="E260" s="360">
        <f t="shared" ca="1" si="96"/>
        <v>53.6898155017332</v>
      </c>
      <c r="F260" s="357">
        <f t="shared" ca="1" si="97"/>
        <v>55.65957906532487</v>
      </c>
      <c r="G260" s="359">
        <f t="shared" ca="1" si="98"/>
        <v>39.95019006029392</v>
      </c>
      <c r="H260" s="360">
        <f t="shared" ca="1" si="99"/>
        <v>172.75456189961258</v>
      </c>
      <c r="I260" s="357">
        <f t="shared" ca="1" si="100"/>
        <v>177.313722940388</v>
      </c>
      <c r="J260" s="359">
        <f t="shared" ca="1" si="101"/>
        <v>49.855153819301911</v>
      </c>
      <c r="K260" s="360">
        <f t="shared" ca="1" si="102"/>
        <v>230.52659212443558</v>
      </c>
      <c r="L260" s="357">
        <f t="shared" ref="L260:L323" ca="1" si="116">SQRT(pos_x^2+pos_z^2)</f>
        <v>235.85598580246409</v>
      </c>
      <c r="M260" s="359">
        <f t="shared" ca="1" si="103"/>
        <v>1.3435372329467321</v>
      </c>
      <c r="N260" s="357">
        <f t="shared" ca="1" si="104"/>
        <v>76.979013066532687</v>
      </c>
      <c r="O260" s="343"/>
      <c r="P260" s="363">
        <f t="shared" ca="1" si="105"/>
        <v>9</v>
      </c>
      <c r="Q260" s="357">
        <f t="shared" ca="1" si="106"/>
        <v>819.87500000000216</v>
      </c>
      <c r="R260" s="359">
        <f t="shared" ca="1" si="107"/>
        <v>0.41070183738904487</v>
      </c>
      <c r="S260" s="360">
        <f t="shared" ca="1" si="108"/>
        <v>11.269196063563038</v>
      </c>
      <c r="T260" s="357">
        <f t="shared" ref="T260:T323" ca="1" si="117">m*g</f>
        <v>110.55081338355342</v>
      </c>
      <c r="U260" s="364">
        <f t="shared" ref="U260:U323" ca="1" si="118">IF(pos_xz&lt;L_rampe,Poids*COS(Beta),0)</f>
        <v>0</v>
      </c>
      <c r="V260" s="359">
        <f t="shared" ref="V260:V323" ca="1" si="119">Rho_moyen*(20000-Alt_rampe-pos_z)/(20000+Alt_rampe+pos_z)</f>
        <v>1.1970822812924338</v>
      </c>
      <c r="W260" s="357">
        <f t="shared" ref="W260:W323" ca="1" si="120">1/2*Rho*Sref*Cx*vit_xz^2</f>
        <v>85.942670081939454</v>
      </c>
      <c r="X260" s="343"/>
      <c r="Y260" s="367" t="str">
        <f t="shared" ca="1" si="109"/>
        <v/>
      </c>
      <c r="Z260" s="368" t="str">
        <f t="shared" ca="1" si="110"/>
        <v/>
      </c>
      <c r="AA260" s="369" t="str">
        <f t="shared" ca="1" si="111"/>
        <v/>
      </c>
      <c r="AB260" s="344"/>
      <c r="AC260" s="363" t="e">
        <f t="shared" ca="1" si="112"/>
        <v>#N/A</v>
      </c>
      <c r="AD260" s="376" t="e">
        <f t="shared" ca="1" si="113"/>
        <v>#N/A</v>
      </c>
      <c r="AE260" s="377">
        <f t="shared" ref="AE260:AE323" ca="1" si="121">IF(t&lt;T_para, pos_z, NA())</f>
        <v>230.52659212443558</v>
      </c>
      <c r="AF260" s="344"/>
      <c r="AG260" s="359">
        <f t="shared" ca="1" si="114"/>
        <v>55.615723556297404</v>
      </c>
      <c r="AH260" s="357">
        <f t="shared" ca="1" si="115"/>
        <v>65.173760225056498</v>
      </c>
    </row>
    <row r="261" spans="1:34" x14ac:dyDescent="0.25">
      <c r="A261" s="402">
        <f t="shared" ref="A261:A324" ca="1" si="122">IF(B260+0.01&lt;=T_ini+ROUNDUP(Temps_fin_propu,0), 0.01, IF(K260&gt;0, 0.1, 0.0001))</f>
        <v>0.01</v>
      </c>
      <c r="B261" s="357">
        <f t="shared" ref="B261:B324" ca="1" si="123">B260+pas</f>
        <v>2.5699999999999892</v>
      </c>
      <c r="C261" s="342"/>
      <c r="D261" s="359">
        <f t="shared" ref="D261:D324" ca="1" si="124">IF(AND(L260&lt;L_rampe,Poussee&lt;Poids*SIN(M260)),0,(-W260+Poussee)/m*COS(M260)-U260/m*SIN(M260))</f>
        <v>14.638033555798014</v>
      </c>
      <c r="E261" s="360">
        <f t="shared" ref="E261:E324" ca="1" si="125">IF(AND(L260&lt;L_rampe,Poussee&lt;Poids*SIN(M260)),0,(-W260+Poussee)/m*SIN(M260)+U260/m*COS(M260)-Poids/m)</f>
        <v>53.488499210822276</v>
      </c>
      <c r="F261" s="357">
        <f t="shared" ref="F261:F324" ca="1" si="126">SQRT(acc_x^2+acc_z^2)</f>
        <v>55.455311505813434</v>
      </c>
      <c r="G261" s="359">
        <f t="shared" ref="G261:G324" ca="1" si="127">G260+acc_x*pas</f>
        <v>40.096570395851899</v>
      </c>
      <c r="H261" s="360">
        <f t="shared" ref="H261:H324" ca="1" si="128">H260+acc_z*pas</f>
        <v>173.28944689172081</v>
      </c>
      <c r="I261" s="357">
        <f t="shared" ref="I261:I324" ca="1" si="129">SQRT(vit_x^2+vit_z^2)</f>
        <v>177.86783678211199</v>
      </c>
      <c r="J261" s="359">
        <f t="shared" ref="J261:J324" ca="1" si="130">J260+0.5*(vit_x+G260)*pas*(K260&gt;=0)</f>
        <v>50.255387621582642</v>
      </c>
      <c r="K261" s="360">
        <f t="shared" ref="K261:K324" ca="1" si="131">K260+0.5*(vit_z+H260)*pas</f>
        <v>232.25681216839226</v>
      </c>
      <c r="L261" s="357">
        <f t="shared" ca="1" si="116"/>
        <v>237.63171249565863</v>
      </c>
      <c r="M261" s="359">
        <f t="shared" ref="M261:M324" ca="1" si="132">IF(AND(L260&gt;L_rampe,G261&gt;0),ATAN2(G261,H261),$M$4)</f>
        <v>1.3434129681577851</v>
      </c>
      <c r="N261" s="357">
        <f t="shared" ref="N261:N324" ca="1" si="133">DEGREES(Beta)</f>
        <v>76.971893218583944</v>
      </c>
      <c r="O261" s="343"/>
      <c r="P261" s="363">
        <f t="shared" ref="P261:P324" ca="1" si="134">MATCH(t-pas/2-T_ini,CdP_t)</f>
        <v>9</v>
      </c>
      <c r="Q261" s="357">
        <f t="shared" ref="Q261:Q324" ca="1" si="135">(INDEX(CdP,2,i_P+1)-INDEX(CdP,2,i_P+0))/(INDEX(CdP,1,i_P+1)-INDEX(CdP,1,i_P+0))*(t-pas/2-T_ini-INDEX(CdP,1,i_P+0))+INDEX(CdP,2,i_P+0)</f>
        <v>817.82500000000221</v>
      </c>
      <c r="R261" s="359">
        <f t="shared" ref="R261:R324" ca="1" si="136">Poussee/(g*ISP)</f>
        <v>0.40967492625424073</v>
      </c>
      <c r="S261" s="360">
        <f t="shared" ref="S261:S324" ca="1" si="137">S260-Débit*pas</f>
        <v>11.265099314300496</v>
      </c>
      <c r="T261" s="357">
        <f t="shared" ca="1" si="117"/>
        <v>110.51062427328787</v>
      </c>
      <c r="U261" s="364">
        <f t="shared" ca="1" si="118"/>
        <v>0</v>
      </c>
      <c r="V261" s="359">
        <f t="shared" ca="1" si="119"/>
        <v>1.1968751499105963</v>
      </c>
      <c r="W261" s="357">
        <f t="shared" ca="1" si="120"/>
        <v>86.465695512640778</v>
      </c>
      <c r="X261" s="343"/>
      <c r="Y261" s="367" t="str">
        <f t="shared" ref="Y261:Y324" ca="1" si="138">IF(AND(pos_z&lt;=0,K260&gt;0),"Impact balistique","") &amp; IF(AND(H262&lt;0,vit_z&gt;=0),"Apogée","") &amp; IF(AND(Poussee=0,Q260&gt;0),"Fin de propulsion","") &amp; IF(AND(L262&gt;L_rampe,pos_xz&lt;=L_rampe),"Sortie de rampe","")</f>
        <v/>
      </c>
      <c r="Z261" s="368" t="str">
        <f t="shared" ref="Z261:Z324" ca="1" si="139">IF(ABS(t-T_para)&lt;pas/2,"Para","")</f>
        <v/>
      </c>
      <c r="AA261" s="369" t="str">
        <f t="shared" ref="AA261:AA324" ca="1" si="140">IF(ABS(t-T_satellite)&lt;pas/2,"Satellite","")</f>
        <v/>
      </c>
      <c r="AB261" s="344"/>
      <c r="AC261" s="363" t="e">
        <f t="shared" ref="AC261:AC324" ca="1" si="141">IF(ABS(t-ROUND(t,0))&lt;0.001,t,NA())</f>
        <v>#N/A</v>
      </c>
      <c r="AD261" s="376" t="e">
        <f t="shared" ref="AD261:AD324" ca="1" si="142">IF(ABS(t-ROUND(t,0))&lt;0.001,pos_x,NA())</f>
        <v>#N/A</v>
      </c>
      <c r="AE261" s="377">
        <f t="shared" ca="1" si="121"/>
        <v>232.25681216839226</v>
      </c>
      <c r="AF261" s="344"/>
      <c r="AG261" s="359">
        <f t="shared" ref="AG261:AG324" ca="1" si="143">IF(AND(L260&lt;L_rampe,Poussee&lt;Poids*SIN(M260)),0,(-W260+Poussee)/m-Poids*SIN(M260)/m)</f>
        <v>55.411246842973576</v>
      </c>
      <c r="AH261" s="357">
        <f t="shared" ref="AH261:AH324" ca="1" si="144">IF(AND(L260&lt;L_rampe,Poussee&lt;Poids*SIN(M260)), g*SIN(M260), (-W260+Poussee)/m)</f>
        <v>64.969008217173339</v>
      </c>
    </row>
    <row r="262" spans="1:34" x14ac:dyDescent="0.25">
      <c r="A262" s="402">
        <f t="shared" ca="1" si="122"/>
        <v>0.01</v>
      </c>
      <c r="B262" s="357">
        <f t="shared" ca="1" si="123"/>
        <v>2.579999999999989</v>
      </c>
      <c r="C262" s="342"/>
      <c r="D262" s="359">
        <f t="shared" ca="1" si="124"/>
        <v>14.599705823672718</v>
      </c>
      <c r="E262" s="360">
        <f t="shared" ca="1" si="125"/>
        <v>53.28704101844616</v>
      </c>
      <c r="F262" s="357">
        <f t="shared" ca="1" si="126"/>
        <v>55.250883709125837</v>
      </c>
      <c r="G262" s="359">
        <f t="shared" ca="1" si="127"/>
        <v>40.242567454088629</v>
      </c>
      <c r="H262" s="360">
        <f t="shared" ca="1" si="128"/>
        <v>173.82231730190529</v>
      </c>
      <c r="I262" s="357">
        <f t="shared" ca="1" si="129"/>
        <v>178.41990423576937</v>
      </c>
      <c r="J262" s="359">
        <f t="shared" ca="1" si="130"/>
        <v>50.657083310832341</v>
      </c>
      <c r="K262" s="360">
        <f t="shared" ca="1" si="131"/>
        <v>233.99237098936038</v>
      </c>
      <c r="L262" s="357">
        <f t="shared" ca="1" si="116"/>
        <v>239.41296909479041</v>
      </c>
      <c r="M262" s="359">
        <f t="shared" ca="1" si="132"/>
        <v>1.3432890213030102</v>
      </c>
      <c r="N262" s="357">
        <f t="shared" ca="1" si="133"/>
        <v>76.964791586921422</v>
      </c>
      <c r="O262" s="343"/>
      <c r="P262" s="363">
        <f t="shared" ca="1" si="134"/>
        <v>9</v>
      </c>
      <c r="Q262" s="357">
        <f t="shared" ca="1" si="135"/>
        <v>815.77500000000225</v>
      </c>
      <c r="R262" s="359">
        <f t="shared" ca="1" si="136"/>
        <v>0.4086480151194366</v>
      </c>
      <c r="S262" s="360">
        <f t="shared" ca="1" si="137"/>
        <v>11.261012834149302</v>
      </c>
      <c r="T262" s="357">
        <f t="shared" ca="1" si="117"/>
        <v>110.47053590300466</v>
      </c>
      <c r="U262" s="364">
        <f t="shared" ca="1" si="118"/>
        <v>0</v>
      </c>
      <c r="V262" s="359">
        <f t="shared" ca="1" si="119"/>
        <v>1.19666741499093</v>
      </c>
      <c r="W262" s="357">
        <f t="shared" ca="1" si="120"/>
        <v>86.988173497206049</v>
      </c>
      <c r="X262" s="343"/>
      <c r="Y262" s="367" t="str">
        <f t="shared" ca="1" si="138"/>
        <v/>
      </c>
      <c r="Z262" s="368" t="str">
        <f t="shared" ca="1" si="139"/>
        <v/>
      </c>
      <c r="AA262" s="369" t="str">
        <f t="shared" ca="1" si="140"/>
        <v/>
      </c>
      <c r="AB262" s="344"/>
      <c r="AC262" s="363" t="e">
        <f t="shared" ca="1" si="141"/>
        <v>#N/A</v>
      </c>
      <c r="AD262" s="376" t="e">
        <f t="shared" ca="1" si="142"/>
        <v>#N/A</v>
      </c>
      <c r="AE262" s="377">
        <f t="shared" ca="1" si="121"/>
        <v>233.99237098936038</v>
      </c>
      <c r="AF262" s="344"/>
      <c r="AG262" s="359">
        <f t="shared" ca="1" si="143"/>
        <v>55.206608314067793</v>
      </c>
      <c r="AH262" s="357">
        <f t="shared" ca="1" si="144"/>
        <v>64.764094955625382</v>
      </c>
    </row>
    <row r="263" spans="1:34" x14ac:dyDescent="0.25">
      <c r="A263" s="402">
        <f t="shared" ca="1" si="122"/>
        <v>0.01</v>
      </c>
      <c r="B263" s="357">
        <f t="shared" ca="1" si="123"/>
        <v>2.5899999999999888</v>
      </c>
      <c r="C263" s="342"/>
      <c r="D263" s="359">
        <f t="shared" ca="1" si="124"/>
        <v>14.561272382604773</v>
      </c>
      <c r="E263" s="360">
        <f t="shared" ca="1" si="125"/>
        <v>53.085443023018193</v>
      </c>
      <c r="F263" s="357">
        <f t="shared" ca="1" si="126"/>
        <v>55.046297916849227</v>
      </c>
      <c r="G263" s="359">
        <f t="shared" ca="1" si="127"/>
        <v>40.388180177914677</v>
      </c>
      <c r="H263" s="360">
        <f t="shared" ca="1" si="128"/>
        <v>174.35317173213548</v>
      </c>
      <c r="I263" s="357">
        <f t="shared" ca="1" si="129"/>
        <v>178.96992370546295</v>
      </c>
      <c r="J263" s="359">
        <f t="shared" ca="1" si="130"/>
        <v>51.060237048992356</v>
      </c>
      <c r="K263" s="360">
        <f t="shared" ca="1" si="131"/>
        <v>235.73324843453059</v>
      </c>
      <c r="L263" s="357">
        <f t="shared" ca="1" si="116"/>
        <v>241.19973512629613</v>
      </c>
      <c r="M263" s="359">
        <f t="shared" ca="1" si="132"/>
        <v>1.3431653891779298</v>
      </c>
      <c r="N263" s="357">
        <f t="shared" ca="1" si="133"/>
        <v>76.957707987942072</v>
      </c>
      <c r="O263" s="343"/>
      <c r="P263" s="363">
        <f t="shared" ca="1" si="134"/>
        <v>9</v>
      </c>
      <c r="Q263" s="357">
        <f t="shared" ca="1" si="135"/>
        <v>813.7250000000023</v>
      </c>
      <c r="R263" s="359">
        <f t="shared" ca="1" si="136"/>
        <v>0.40762110398463253</v>
      </c>
      <c r="S263" s="360">
        <f t="shared" ca="1" si="137"/>
        <v>11.256936623109455</v>
      </c>
      <c r="T263" s="357">
        <f t="shared" ca="1" si="117"/>
        <v>110.43054827270376</v>
      </c>
      <c r="U263" s="364">
        <f t="shared" ca="1" si="118"/>
        <v>0</v>
      </c>
      <c r="V263" s="359">
        <f t="shared" ca="1" si="119"/>
        <v>1.1964590792646825</v>
      </c>
      <c r="W263" s="357">
        <f t="shared" ca="1" si="120"/>
        <v>87.510083507273933</v>
      </c>
      <c r="X263" s="343"/>
      <c r="Y263" s="367" t="str">
        <f t="shared" ca="1" si="138"/>
        <v/>
      </c>
      <c r="Z263" s="368" t="str">
        <f t="shared" ca="1" si="139"/>
        <v/>
      </c>
      <c r="AA263" s="369" t="str">
        <f t="shared" ca="1" si="140"/>
        <v/>
      </c>
      <c r="AB263" s="344"/>
      <c r="AC263" s="363" t="e">
        <f t="shared" ca="1" si="141"/>
        <v>#N/A</v>
      </c>
      <c r="AD263" s="376" t="e">
        <f t="shared" ca="1" si="142"/>
        <v>#N/A</v>
      </c>
      <c r="AE263" s="377">
        <f t="shared" ca="1" si="121"/>
        <v>235.73324843453059</v>
      </c>
      <c r="AF263" s="344"/>
      <c r="AG263" s="359">
        <f t="shared" ca="1" si="143"/>
        <v>55.00181019246525</v>
      </c>
      <c r="AH263" s="357">
        <f t="shared" ca="1" si="144"/>
        <v>64.559022657271825</v>
      </c>
    </row>
    <row r="264" spans="1:34" x14ac:dyDescent="0.25">
      <c r="A264" s="402">
        <f t="shared" ca="1" si="122"/>
        <v>0.01</v>
      </c>
      <c r="B264" s="357">
        <f t="shared" ca="1" si="123"/>
        <v>2.5999999999999885</v>
      </c>
      <c r="C264" s="342"/>
      <c r="D264" s="359">
        <f t="shared" ca="1" si="124"/>
        <v>14.52273406955919</v>
      </c>
      <c r="E264" s="360">
        <f t="shared" ca="1" si="125"/>
        <v>52.8837073197123</v>
      </c>
      <c r="F264" s="357">
        <f t="shared" ca="1" si="126"/>
        <v>54.841556366792943</v>
      </c>
      <c r="G264" s="359">
        <f t="shared" ca="1" si="127"/>
        <v>40.533407518610268</v>
      </c>
      <c r="H264" s="360">
        <f t="shared" ca="1" si="128"/>
        <v>174.88200880533259</v>
      </c>
      <c r="I264" s="357">
        <f t="shared" ca="1" si="129"/>
        <v>179.51789361748359</v>
      </c>
      <c r="J264" s="359">
        <f t="shared" ca="1" si="130"/>
        <v>51.464844987474983</v>
      </c>
      <c r="K264" s="360">
        <f t="shared" ca="1" si="131"/>
        <v>237.47942433721792</v>
      </c>
      <c r="L264" s="357">
        <f t="shared" ca="1" si="116"/>
        <v>242.99199010074642</v>
      </c>
      <c r="M264" s="359">
        <f t="shared" ca="1" si="132"/>
        <v>1.3430420686154914</v>
      </c>
      <c r="N264" s="357">
        <f t="shared" ca="1" si="133"/>
        <v>76.950642240187179</v>
      </c>
      <c r="O264" s="343"/>
      <c r="P264" s="363">
        <f t="shared" ca="1" si="134"/>
        <v>9</v>
      </c>
      <c r="Q264" s="357">
        <f t="shared" ca="1" si="135"/>
        <v>811.67500000000234</v>
      </c>
      <c r="R264" s="359">
        <f t="shared" ca="1" si="136"/>
        <v>0.4065941928498284</v>
      </c>
      <c r="S264" s="360">
        <f t="shared" ca="1" si="137"/>
        <v>11.252870681180957</v>
      </c>
      <c r="T264" s="357">
        <f t="shared" ca="1" si="117"/>
        <v>110.39066138238519</v>
      </c>
      <c r="U264" s="364">
        <f t="shared" ca="1" si="118"/>
        <v>0</v>
      </c>
      <c r="V264" s="359">
        <f t="shared" ca="1" si="119"/>
        <v>1.1962501454639412</v>
      </c>
      <c r="W264" s="357">
        <f t="shared" ca="1" si="120"/>
        <v>88.031405105718534</v>
      </c>
      <c r="X264" s="343"/>
      <c r="Y264" s="367" t="str">
        <f t="shared" ca="1" si="138"/>
        <v/>
      </c>
      <c r="Z264" s="368" t="str">
        <f t="shared" ca="1" si="139"/>
        <v/>
      </c>
      <c r="AA264" s="369" t="str">
        <f t="shared" ca="1" si="140"/>
        <v/>
      </c>
      <c r="AB264" s="344"/>
      <c r="AC264" s="363" t="e">
        <f t="shared" ca="1" si="141"/>
        <v>#N/A</v>
      </c>
      <c r="AD264" s="376" t="e">
        <f t="shared" ca="1" si="142"/>
        <v>#N/A</v>
      </c>
      <c r="AE264" s="377">
        <f t="shared" ca="1" si="121"/>
        <v>237.47942433721792</v>
      </c>
      <c r="AF264" s="344"/>
      <c r="AG264" s="359">
        <f t="shared" ca="1" si="143"/>
        <v>54.796854697009266</v>
      </c>
      <c r="AH264" s="357">
        <f t="shared" ca="1" si="144"/>
        <v>64.35379353499593</v>
      </c>
    </row>
    <row r="265" spans="1:34" x14ac:dyDescent="0.25">
      <c r="A265" s="402">
        <f t="shared" ca="1" si="122"/>
        <v>0.01</v>
      </c>
      <c r="B265" s="357">
        <f t="shared" ca="1" si="123"/>
        <v>2.6099999999999883</v>
      </c>
      <c r="C265" s="342"/>
      <c r="D265" s="359">
        <f t="shared" ca="1" si="124"/>
        <v>14.484091716999894</v>
      </c>
      <c r="E265" s="360">
        <f t="shared" ca="1" si="125"/>
        <v>52.681836000381423</v>
      </c>
      <c r="F265" s="357">
        <f t="shared" ca="1" si="126"/>
        <v>54.636661292922625</v>
      </c>
      <c r="G265" s="359">
        <f t="shared" ca="1" si="127"/>
        <v>40.678248435780269</v>
      </c>
      <c r="H265" s="360">
        <f t="shared" ca="1" si="128"/>
        <v>175.40882716533639</v>
      </c>
      <c r="I265" s="357">
        <f t="shared" ca="1" si="129"/>
        <v>180.06381242026927</v>
      </c>
      <c r="J265" s="359">
        <f t="shared" ca="1" si="130"/>
        <v>51.870903267246938</v>
      </c>
      <c r="K265" s="360">
        <f t="shared" ca="1" si="131"/>
        <v>239.23087851707126</v>
      </c>
      <c r="L265" s="357">
        <f t="shared" ca="1" si="116"/>
        <v>244.78971351306777</v>
      </c>
      <c r="M265" s="359">
        <f t="shared" ca="1" si="132"/>
        <v>1.3429190564854412</v>
      </c>
      <c r="N265" s="357">
        <f t="shared" ca="1" si="133"/>
        <v>76.94359416430639</v>
      </c>
      <c r="O265" s="343"/>
      <c r="P265" s="363">
        <f t="shared" ca="1" si="134"/>
        <v>9</v>
      </c>
      <c r="Q265" s="357">
        <f t="shared" ca="1" si="135"/>
        <v>809.62500000000239</v>
      </c>
      <c r="R265" s="359">
        <f t="shared" ca="1" si="136"/>
        <v>0.40556728171502426</v>
      </c>
      <c r="S265" s="360">
        <f t="shared" ca="1" si="137"/>
        <v>11.248815008363806</v>
      </c>
      <c r="T265" s="357">
        <f t="shared" ca="1" si="117"/>
        <v>110.35087523204895</v>
      </c>
      <c r="U265" s="364">
        <f t="shared" ca="1" si="118"/>
        <v>0</v>
      </c>
      <c r="V265" s="359">
        <f t="shared" ca="1" si="119"/>
        <v>1.1960406163215935</v>
      </c>
      <c r="W265" s="357">
        <f t="shared" ca="1" si="120"/>
        <v>88.552117947147906</v>
      </c>
      <c r="X265" s="343"/>
      <c r="Y265" s="367" t="str">
        <f t="shared" ca="1" si="138"/>
        <v/>
      </c>
      <c r="Z265" s="368" t="str">
        <f t="shared" ca="1" si="139"/>
        <v/>
      </c>
      <c r="AA265" s="369" t="str">
        <f t="shared" ca="1" si="140"/>
        <v/>
      </c>
      <c r="AB265" s="344"/>
      <c r="AC265" s="363" t="e">
        <f t="shared" ca="1" si="141"/>
        <v>#N/A</v>
      </c>
      <c r="AD265" s="376" t="e">
        <f t="shared" ca="1" si="142"/>
        <v>#N/A</v>
      </c>
      <c r="AE265" s="377">
        <f t="shared" ca="1" si="121"/>
        <v>239.23087851707126</v>
      </c>
      <c r="AF265" s="344"/>
      <c r="AG265" s="359">
        <f t="shared" ca="1" si="143"/>
        <v>54.591744042430186</v>
      </c>
      <c r="AH265" s="357">
        <f t="shared" ca="1" si="144"/>
        <v>64.148409797632809</v>
      </c>
    </row>
    <row r="266" spans="1:34" x14ac:dyDescent="0.25">
      <c r="A266" s="402">
        <f t="shared" ca="1" si="122"/>
        <v>0.01</v>
      </c>
      <c r="B266" s="357">
        <f t="shared" ca="1" si="123"/>
        <v>2.6199999999999881</v>
      </c>
      <c r="C266" s="342"/>
      <c r="D266" s="359">
        <f t="shared" ca="1" si="124"/>
        <v>14.44534615293662</v>
      </c>
      <c r="E266" s="360">
        <f t="shared" ca="1" si="125"/>
        <v>52.479831153476368</v>
      </c>
      <c r="F266" s="357">
        <f t="shared" ca="1" si="126"/>
        <v>54.431614925294561</v>
      </c>
      <c r="G266" s="359">
        <f t="shared" ca="1" si="127"/>
        <v>40.822701897309635</v>
      </c>
      <c r="H266" s="360">
        <f t="shared" ca="1" si="128"/>
        <v>175.93362547687116</v>
      </c>
      <c r="I266" s="357">
        <f t="shared" ca="1" si="129"/>
        <v>180.60767858436301</v>
      </c>
      <c r="J266" s="359">
        <f t="shared" ca="1" si="130"/>
        <v>52.278408018912387</v>
      </c>
      <c r="K266" s="360">
        <f t="shared" ca="1" si="131"/>
        <v>240.98759078028229</v>
      </c>
      <c r="L266" s="357">
        <f t="shared" ca="1" si="116"/>
        <v>246.59288484276402</v>
      </c>
      <c r="M266" s="359">
        <f t="shared" ca="1" si="132"/>
        <v>1.3427963496937103</v>
      </c>
      <c r="N266" s="357">
        <f t="shared" ca="1" si="133"/>
        <v>76.936563583022618</v>
      </c>
      <c r="O266" s="343"/>
      <c r="P266" s="363">
        <f t="shared" ca="1" si="134"/>
        <v>9</v>
      </c>
      <c r="Q266" s="357">
        <f t="shared" ca="1" si="135"/>
        <v>807.57500000000243</v>
      </c>
      <c r="R266" s="359">
        <f t="shared" ca="1" si="136"/>
        <v>0.40454037058022019</v>
      </c>
      <c r="S266" s="360">
        <f t="shared" ca="1" si="137"/>
        <v>11.244769604658003</v>
      </c>
      <c r="T266" s="357">
        <f t="shared" ca="1" si="117"/>
        <v>110.31118982169502</v>
      </c>
      <c r="U266" s="364">
        <f t="shared" ca="1" si="118"/>
        <v>0</v>
      </c>
      <c r="V266" s="359">
        <f t="shared" ca="1" si="119"/>
        <v>1.1958304945712914</v>
      </c>
      <c r="W266" s="357">
        <f t="shared" ca="1" si="120"/>
        <v>89.072201778395154</v>
      </c>
      <c r="X266" s="343"/>
      <c r="Y266" s="367" t="str">
        <f t="shared" ca="1" si="138"/>
        <v/>
      </c>
      <c r="Z266" s="368" t="str">
        <f t="shared" ca="1" si="139"/>
        <v/>
      </c>
      <c r="AA266" s="369" t="str">
        <f t="shared" ca="1" si="140"/>
        <v/>
      </c>
      <c r="AB266" s="344"/>
      <c r="AC266" s="363" t="e">
        <f t="shared" ca="1" si="141"/>
        <v>#N/A</v>
      </c>
      <c r="AD266" s="376" t="e">
        <f t="shared" ca="1" si="142"/>
        <v>#N/A</v>
      </c>
      <c r="AE266" s="377">
        <f t="shared" ca="1" si="121"/>
        <v>240.98759078028229</v>
      </c>
      <c r="AF266" s="344"/>
      <c r="AG266" s="359">
        <f t="shared" ca="1" si="143"/>
        <v>54.386480439274521</v>
      </c>
      <c r="AH266" s="357">
        <f t="shared" ca="1" si="144"/>
        <v>63.9428736498975</v>
      </c>
    </row>
    <row r="267" spans="1:34" x14ac:dyDescent="0.25">
      <c r="A267" s="402">
        <f t="shared" ca="1" si="122"/>
        <v>0.01</v>
      </c>
      <c r="B267" s="357">
        <f t="shared" ca="1" si="123"/>
        <v>2.6299999999999879</v>
      </c>
      <c r="C267" s="342"/>
      <c r="D267" s="359">
        <f t="shared" ca="1" si="124"/>
        <v>14.406498200970679</v>
      </c>
      <c r="E267" s="360">
        <f t="shared" ca="1" si="125"/>
        <v>52.27769486396565</v>
      </c>
      <c r="F267" s="357">
        <f t="shared" ca="1" si="126"/>
        <v>54.226419489990967</v>
      </c>
      <c r="G267" s="359">
        <f t="shared" ca="1" si="127"/>
        <v>40.966766879319344</v>
      </c>
      <c r="H267" s="360">
        <f t="shared" ca="1" si="128"/>
        <v>176.45640242551082</v>
      </c>
      <c r="I267" s="357">
        <f t="shared" ca="1" si="129"/>
        <v>181.14949060237049</v>
      </c>
      <c r="J267" s="359">
        <f t="shared" ca="1" si="130"/>
        <v>52.687355362795529</v>
      </c>
      <c r="K267" s="360">
        <f t="shared" ca="1" si="131"/>
        <v>242.74954091979419</v>
      </c>
      <c r="L267" s="357">
        <f t="shared" ca="1" si="116"/>
        <v>248.40148355413729</v>
      </c>
      <c r="M267" s="359">
        <f t="shared" ca="1" si="132"/>
        <v>1.3426739451818144</v>
      </c>
      <c r="N267" s="357">
        <f t="shared" ca="1" si="133"/>
        <v>76.929550321097622</v>
      </c>
      <c r="O267" s="343"/>
      <c r="P267" s="363">
        <f t="shared" ca="1" si="134"/>
        <v>9</v>
      </c>
      <c r="Q267" s="357">
        <f t="shared" ca="1" si="135"/>
        <v>805.52500000000248</v>
      </c>
      <c r="R267" s="359">
        <f t="shared" ca="1" si="136"/>
        <v>0.40351345944541606</v>
      </c>
      <c r="S267" s="360">
        <f t="shared" ca="1" si="137"/>
        <v>11.240734470063549</v>
      </c>
      <c r="T267" s="357">
        <f t="shared" ca="1" si="117"/>
        <v>110.27160515132341</v>
      </c>
      <c r="U267" s="364">
        <f t="shared" ca="1" si="118"/>
        <v>0</v>
      </c>
      <c r="V267" s="359">
        <f t="shared" ca="1" si="119"/>
        <v>1.1956197829474073</v>
      </c>
      <c r="W267" s="357">
        <f t="shared" ca="1" si="120"/>
        <v>89.59163643900223</v>
      </c>
      <c r="X267" s="343"/>
      <c r="Y267" s="367" t="str">
        <f t="shared" ca="1" si="138"/>
        <v/>
      </c>
      <c r="Z267" s="368" t="str">
        <f t="shared" ca="1" si="139"/>
        <v/>
      </c>
      <c r="AA267" s="369" t="str">
        <f t="shared" ca="1" si="140"/>
        <v/>
      </c>
      <c r="AB267" s="344"/>
      <c r="AC267" s="363" t="e">
        <f t="shared" ca="1" si="141"/>
        <v>#N/A</v>
      </c>
      <c r="AD267" s="376" t="e">
        <f t="shared" ca="1" si="142"/>
        <v>#N/A</v>
      </c>
      <c r="AE267" s="377">
        <f t="shared" ca="1" si="121"/>
        <v>242.74954091979419</v>
      </c>
      <c r="AF267" s="344"/>
      <c r="AG267" s="359">
        <f t="shared" ca="1" si="143"/>
        <v>54.181066093834765</v>
      </c>
      <c r="AH267" s="357">
        <f t="shared" ca="1" si="144"/>
        <v>63.737187292313727</v>
      </c>
    </row>
    <row r="268" spans="1:34" x14ac:dyDescent="0.25">
      <c r="A268" s="402">
        <f t="shared" ca="1" si="122"/>
        <v>0.01</v>
      </c>
      <c r="B268" s="357">
        <f t="shared" ca="1" si="123"/>
        <v>2.6399999999999877</v>
      </c>
      <c r="C268" s="342"/>
      <c r="D268" s="359">
        <f t="shared" ca="1" si="124"/>
        <v>14.367548680339382</v>
      </c>
      <c r="E268" s="360">
        <f t="shared" ca="1" si="125"/>
        <v>52.07542921325615</v>
      </c>
      <c r="F268" s="357">
        <f t="shared" ca="1" si="126"/>
        <v>54.021077209055861</v>
      </c>
      <c r="G268" s="359">
        <f t="shared" ca="1" si="127"/>
        <v>41.11044236612274</v>
      </c>
      <c r="H268" s="360">
        <f t="shared" ca="1" si="128"/>
        <v>176.97715671764337</v>
      </c>
      <c r="I268" s="357">
        <f t="shared" ca="1" si="129"/>
        <v>181.68924698891678</v>
      </c>
      <c r="J268" s="359">
        <f t="shared" ca="1" si="130"/>
        <v>53.097741409022738</v>
      </c>
      <c r="K268" s="360">
        <f t="shared" ca="1" si="131"/>
        <v>244.51670871550996</v>
      </c>
      <c r="L268" s="357">
        <f t="shared" ca="1" si="116"/>
        <v>250.21548909650858</v>
      </c>
      <c r="M268" s="359">
        <f t="shared" ca="1" si="132"/>
        <v>1.3425518399262628</v>
      </c>
      <c r="N268" s="357">
        <f t="shared" ca="1" si="133"/>
        <v>76.922554205298141</v>
      </c>
      <c r="O268" s="343"/>
      <c r="P268" s="363">
        <f t="shared" ca="1" si="134"/>
        <v>9</v>
      </c>
      <c r="Q268" s="357">
        <f t="shared" ca="1" si="135"/>
        <v>803.47500000000252</v>
      </c>
      <c r="R268" s="359">
        <f t="shared" ca="1" si="136"/>
        <v>0.40248654831061198</v>
      </c>
      <c r="S268" s="360">
        <f t="shared" ca="1" si="137"/>
        <v>11.236709604580442</v>
      </c>
      <c r="T268" s="357">
        <f t="shared" ca="1" si="117"/>
        <v>110.23212122093415</v>
      </c>
      <c r="U268" s="364">
        <f t="shared" ca="1" si="118"/>
        <v>0</v>
      </c>
      <c r="V268" s="359">
        <f t="shared" ca="1" si="119"/>
        <v>1.1954084841849997</v>
      </c>
      <c r="W268" s="357">
        <f t="shared" ca="1" si="120"/>
        <v>90.110401861697284</v>
      </c>
      <c r="X268" s="343"/>
      <c r="Y268" s="367" t="str">
        <f t="shared" ca="1" si="138"/>
        <v/>
      </c>
      <c r="Z268" s="368" t="str">
        <f t="shared" ca="1" si="139"/>
        <v/>
      </c>
      <c r="AA268" s="369" t="str">
        <f t="shared" ca="1" si="140"/>
        <v/>
      </c>
      <c r="AB268" s="344"/>
      <c r="AC268" s="363" t="e">
        <f t="shared" ca="1" si="141"/>
        <v>#N/A</v>
      </c>
      <c r="AD268" s="376" t="e">
        <f t="shared" ca="1" si="142"/>
        <v>#N/A</v>
      </c>
      <c r="AE268" s="377">
        <f t="shared" ca="1" si="121"/>
        <v>244.51670871550996</v>
      </c>
      <c r="AF268" s="344"/>
      <c r="AG268" s="359">
        <f t="shared" ca="1" si="143"/>
        <v>53.975503208079772</v>
      </c>
      <c r="AH268" s="357">
        <f t="shared" ca="1" si="144"/>
        <v>63.531352921143274</v>
      </c>
    </row>
    <row r="269" spans="1:34" x14ac:dyDescent="0.25">
      <c r="A269" s="402">
        <f t="shared" ca="1" si="122"/>
        <v>0.01</v>
      </c>
      <c r="B269" s="357">
        <f t="shared" ca="1" si="123"/>
        <v>2.6499999999999875</v>
      </c>
      <c r="C269" s="342"/>
      <c r="D269" s="359">
        <f t="shared" ca="1" si="124"/>
        <v>14.328498405959413</v>
      </c>
      <c r="E269" s="360">
        <f t="shared" ca="1" si="125"/>
        <v>51.87303627911421</v>
      </c>
      <c r="F269" s="357">
        <f t="shared" ca="1" si="126"/>
        <v>53.815590300431346</v>
      </c>
      <c r="G269" s="359">
        <f t="shared" ca="1" si="127"/>
        <v>41.253727350182331</v>
      </c>
      <c r="H269" s="360">
        <f t="shared" ca="1" si="128"/>
        <v>177.4958870804345</v>
      </c>
      <c r="I269" s="357">
        <f t="shared" ca="1" si="129"/>
        <v>182.22694628060236</v>
      </c>
      <c r="J269" s="359">
        <f t="shared" ca="1" si="130"/>
        <v>53.509562257604266</v>
      </c>
      <c r="K269" s="360">
        <f t="shared" ca="1" si="131"/>
        <v>246.28907393450035</v>
      </c>
      <c r="L269" s="357">
        <f t="shared" ca="1" si="116"/>
        <v>252.03488090443793</v>
      </c>
      <c r="M269" s="359">
        <f t="shared" ca="1" si="132"/>
        <v>1.342430030937984</v>
      </c>
      <c r="N269" s="357">
        <f t="shared" ca="1" si="133"/>
        <v>76.915575064363011</v>
      </c>
      <c r="O269" s="343"/>
      <c r="P269" s="363">
        <f t="shared" ca="1" si="134"/>
        <v>9</v>
      </c>
      <c r="Q269" s="357">
        <f t="shared" ca="1" si="135"/>
        <v>801.42500000000257</v>
      </c>
      <c r="R269" s="359">
        <f t="shared" ca="1" si="136"/>
        <v>0.40145963717580785</v>
      </c>
      <c r="S269" s="360">
        <f t="shared" ca="1" si="137"/>
        <v>11.232695008208683</v>
      </c>
      <c r="T269" s="357">
        <f t="shared" ca="1" si="117"/>
        <v>110.19273803052718</v>
      </c>
      <c r="U269" s="364">
        <f t="shared" ca="1" si="118"/>
        <v>0</v>
      </c>
      <c r="V269" s="359">
        <f t="shared" ca="1" si="119"/>
        <v>1.1951966010197708</v>
      </c>
      <c r="W269" s="357">
        <f t="shared" ca="1" si="120"/>
        <v>90.628478072864283</v>
      </c>
      <c r="X269" s="343"/>
      <c r="Y269" s="367" t="str">
        <f t="shared" ca="1" si="138"/>
        <v/>
      </c>
      <c r="Z269" s="368" t="str">
        <f t="shared" ca="1" si="139"/>
        <v/>
      </c>
      <c r="AA269" s="369" t="str">
        <f t="shared" ca="1" si="140"/>
        <v/>
      </c>
      <c r="AB269" s="344"/>
      <c r="AC269" s="363" t="e">
        <f t="shared" ca="1" si="141"/>
        <v>#N/A</v>
      </c>
      <c r="AD269" s="376" t="e">
        <f t="shared" ca="1" si="142"/>
        <v>#N/A</v>
      </c>
      <c r="AE269" s="377">
        <f t="shared" ca="1" si="121"/>
        <v>246.28907393450035</v>
      </c>
      <c r="AF269" s="344"/>
      <c r="AG269" s="359">
        <f t="shared" ca="1" si="143"/>
        <v>53.769793979585458</v>
      </c>
      <c r="AH269" s="357">
        <f t="shared" ca="1" si="144"/>
        <v>63.325372728315635</v>
      </c>
    </row>
    <row r="270" spans="1:34" x14ac:dyDescent="0.25">
      <c r="A270" s="402">
        <f t="shared" ca="1" si="122"/>
        <v>0.01</v>
      </c>
      <c r="B270" s="357">
        <f t="shared" ca="1" si="123"/>
        <v>2.6599999999999873</v>
      </c>
      <c r="C270" s="342"/>
      <c r="D270" s="359">
        <f t="shared" ca="1" si="124"/>
        <v>14.289348188468855</v>
      </c>
      <c r="E270" s="360">
        <f t="shared" ca="1" si="125"/>
        <v>51.670518135587834</v>
      </c>
      <c r="F270" s="357">
        <f t="shared" ca="1" si="126"/>
        <v>53.609960977894858</v>
      </c>
      <c r="G270" s="359">
        <f t="shared" ca="1" si="127"/>
        <v>41.396620832067022</v>
      </c>
      <c r="H270" s="360">
        <f t="shared" ca="1" si="128"/>
        <v>178.01259226179039</v>
      </c>
      <c r="I270" s="357">
        <f t="shared" ca="1" si="129"/>
        <v>182.76258703595863</v>
      </c>
      <c r="J270" s="359">
        <f t="shared" ca="1" si="130"/>
        <v>53.922813998515515</v>
      </c>
      <c r="K270" s="360">
        <f t="shared" ca="1" si="131"/>
        <v>248.06661633121146</v>
      </c>
      <c r="L270" s="357">
        <f t="shared" ca="1" si="116"/>
        <v>253.85963839794417</v>
      </c>
      <c r="M270" s="359">
        <f t="shared" ca="1" si="132"/>
        <v>1.342308515261758</v>
      </c>
      <c r="N270" s="357">
        <f t="shared" ca="1" si="133"/>
        <v>76.908612728970581</v>
      </c>
      <c r="O270" s="343"/>
      <c r="P270" s="363">
        <f t="shared" ca="1" si="134"/>
        <v>9</v>
      </c>
      <c r="Q270" s="357">
        <f t="shared" ca="1" si="135"/>
        <v>799.37500000000261</v>
      </c>
      <c r="R270" s="359">
        <f t="shared" ca="1" si="136"/>
        <v>0.40043272604100372</v>
      </c>
      <c r="S270" s="360">
        <f t="shared" ca="1" si="137"/>
        <v>11.228690680948272</v>
      </c>
      <c r="T270" s="357">
        <f t="shared" ca="1" si="117"/>
        <v>110.15345558010256</v>
      </c>
      <c r="U270" s="364">
        <f t="shared" ca="1" si="118"/>
        <v>0</v>
      </c>
      <c r="V270" s="359">
        <f t="shared" ca="1" si="119"/>
        <v>1.1949841361880313</v>
      </c>
      <c r="W270" s="357">
        <f t="shared" ca="1" si="120"/>
        <v>91.145845193006267</v>
      </c>
      <c r="X270" s="343"/>
      <c r="Y270" s="367" t="str">
        <f t="shared" ca="1" si="138"/>
        <v/>
      </c>
      <c r="Z270" s="368" t="str">
        <f t="shared" ca="1" si="139"/>
        <v/>
      </c>
      <c r="AA270" s="369" t="str">
        <f t="shared" ca="1" si="140"/>
        <v/>
      </c>
      <c r="AB270" s="344"/>
      <c r="AC270" s="363" t="e">
        <f t="shared" ca="1" si="141"/>
        <v>#N/A</v>
      </c>
      <c r="AD270" s="376" t="e">
        <f t="shared" ca="1" si="142"/>
        <v>#N/A</v>
      </c>
      <c r="AE270" s="377">
        <f t="shared" ca="1" si="121"/>
        <v>248.06661633121146</v>
      </c>
      <c r="AF270" s="344"/>
      <c r="AG270" s="359">
        <f t="shared" ca="1" si="143"/>
        <v>53.5639406014662</v>
      </c>
      <c r="AH270" s="357">
        <f t="shared" ca="1" si="144"/>
        <v>63.119248901358475</v>
      </c>
    </row>
    <row r="271" spans="1:34" x14ac:dyDescent="0.25">
      <c r="A271" s="402">
        <f t="shared" ca="1" si="122"/>
        <v>0.01</v>
      </c>
      <c r="B271" s="357">
        <f t="shared" ca="1" si="123"/>
        <v>2.6699999999999871</v>
      </c>
      <c r="C271" s="342"/>
      <c r="D271" s="359">
        <f t="shared" ca="1" si="124"/>
        <v>14.250098834268272</v>
      </c>
      <c r="E271" s="360">
        <f t="shared" ca="1" si="125"/>
        <v>51.467876852929336</v>
      </c>
      <c r="F271" s="357">
        <f t="shared" ca="1" si="126"/>
        <v>53.404191450996741</v>
      </c>
      <c r="G271" s="359">
        <f t="shared" ca="1" si="127"/>
        <v>41.539121820409704</v>
      </c>
      <c r="H271" s="360">
        <f t="shared" ca="1" si="128"/>
        <v>178.52727103031967</v>
      </c>
      <c r="I271" s="357">
        <f t="shared" ca="1" si="129"/>
        <v>183.29616783540254</v>
      </c>
      <c r="J271" s="359">
        <f t="shared" ca="1" si="130"/>
        <v>54.337492711777898</v>
      </c>
      <c r="K271" s="360">
        <f t="shared" ca="1" si="131"/>
        <v>249.849315647672</v>
      </c>
      <c r="L271" s="357">
        <f t="shared" ca="1" si="116"/>
        <v>255.68974098272412</v>
      </c>
      <c r="M271" s="359">
        <f t="shared" ca="1" si="132"/>
        <v>1.3421872899756642</v>
      </c>
      <c r="N271" s="357">
        <f t="shared" ca="1" si="133"/>
        <v>76.901667031707149</v>
      </c>
      <c r="O271" s="343"/>
      <c r="P271" s="363">
        <f t="shared" ca="1" si="134"/>
        <v>9</v>
      </c>
      <c r="Q271" s="357">
        <f t="shared" ca="1" si="135"/>
        <v>797.32500000000266</v>
      </c>
      <c r="R271" s="359">
        <f t="shared" ca="1" si="136"/>
        <v>0.39940581490619964</v>
      </c>
      <c r="S271" s="360">
        <f t="shared" ca="1" si="137"/>
        <v>11.224696622799211</v>
      </c>
      <c r="T271" s="357">
        <f t="shared" ca="1" si="117"/>
        <v>110.11427386966027</v>
      </c>
      <c r="U271" s="364">
        <f t="shared" ca="1" si="118"/>
        <v>0</v>
      </c>
      <c r="V271" s="359">
        <f t="shared" ca="1" si="119"/>
        <v>1.194771092426659</v>
      </c>
      <c r="W271" s="357">
        <f t="shared" ca="1" si="120"/>
        <v>91.662483437200791</v>
      </c>
      <c r="X271" s="343"/>
      <c r="Y271" s="367" t="str">
        <f t="shared" ca="1" si="138"/>
        <v/>
      </c>
      <c r="Z271" s="368" t="str">
        <f t="shared" ca="1" si="139"/>
        <v/>
      </c>
      <c r="AA271" s="369" t="str">
        <f t="shared" ca="1" si="140"/>
        <v/>
      </c>
      <c r="AB271" s="344"/>
      <c r="AC271" s="363" t="e">
        <f t="shared" ca="1" si="141"/>
        <v>#N/A</v>
      </c>
      <c r="AD271" s="376" t="e">
        <f t="shared" ca="1" si="142"/>
        <v>#N/A</v>
      </c>
      <c r="AE271" s="377">
        <f t="shared" ca="1" si="121"/>
        <v>249.849315647672</v>
      </c>
      <c r="AF271" s="344"/>
      <c r="AG271" s="359">
        <f t="shared" ca="1" si="143"/>
        <v>53.357945262306636</v>
      </c>
      <c r="AH271" s="357">
        <f t="shared" ca="1" si="144"/>
        <v>62.912983623328401</v>
      </c>
    </row>
    <row r="272" spans="1:34" x14ac:dyDescent="0.25">
      <c r="A272" s="402">
        <f t="shared" ca="1" si="122"/>
        <v>0.01</v>
      </c>
      <c r="B272" s="357">
        <f t="shared" ca="1" si="123"/>
        <v>2.6799999999999868</v>
      </c>
      <c r="C272" s="342"/>
      <c r="D272" s="359">
        <f t="shared" ca="1" si="124"/>
        <v>14.210751145560549</v>
      </c>
      <c r="E272" s="360">
        <f t="shared" ca="1" si="125"/>
        <v>51.265114497519008</v>
      </c>
      <c r="F272" s="357">
        <f t="shared" ca="1" si="126"/>
        <v>53.198283924998783</v>
      </c>
      <c r="G272" s="359">
        <f t="shared" ca="1" si="127"/>
        <v>41.68122933186531</v>
      </c>
      <c r="H272" s="360">
        <f t="shared" ca="1" si="128"/>
        <v>179.03992217529486</v>
      </c>
      <c r="I272" s="357">
        <f t="shared" ca="1" si="129"/>
        <v>183.82768728119058</v>
      </c>
      <c r="J272" s="359">
        <f t="shared" ca="1" si="130"/>
        <v>54.753594467539273</v>
      </c>
      <c r="K272" s="360">
        <f t="shared" ca="1" si="131"/>
        <v>251.63715161370007</v>
      </c>
      <c r="L272" s="357">
        <f t="shared" ca="1" si="116"/>
        <v>257.52516805037141</v>
      </c>
      <c r="M272" s="359">
        <f t="shared" ca="1" si="132"/>
        <v>1.3420663521905374</v>
      </c>
      <c r="N272" s="357">
        <f t="shared" ca="1" si="133"/>
        <v>76.89473780703571</v>
      </c>
      <c r="O272" s="343"/>
      <c r="P272" s="363">
        <f t="shared" ca="1" si="134"/>
        <v>9</v>
      </c>
      <c r="Q272" s="357">
        <f t="shared" ca="1" si="135"/>
        <v>795.27500000000271</v>
      </c>
      <c r="R272" s="359">
        <f t="shared" ca="1" si="136"/>
        <v>0.39837890377139551</v>
      </c>
      <c r="S272" s="360">
        <f t="shared" ca="1" si="137"/>
        <v>11.220712833761498</v>
      </c>
      <c r="T272" s="357">
        <f t="shared" ca="1" si="117"/>
        <v>110.0751928992003</v>
      </c>
      <c r="U272" s="364">
        <f t="shared" ca="1" si="118"/>
        <v>0</v>
      </c>
      <c r="V272" s="359">
        <f t="shared" ca="1" si="119"/>
        <v>1.1945574724730619</v>
      </c>
      <c r="W272" s="357">
        <f t="shared" ca="1" si="120"/>
        <v>92.178373115548951</v>
      </c>
      <c r="X272" s="343"/>
      <c r="Y272" s="367" t="str">
        <f t="shared" ca="1" si="138"/>
        <v/>
      </c>
      <c r="Z272" s="368" t="str">
        <f t="shared" ca="1" si="139"/>
        <v/>
      </c>
      <c r="AA272" s="369" t="str">
        <f t="shared" ca="1" si="140"/>
        <v/>
      </c>
      <c r="AB272" s="344"/>
      <c r="AC272" s="363" t="e">
        <f t="shared" ca="1" si="141"/>
        <v>#N/A</v>
      </c>
      <c r="AD272" s="376" t="e">
        <f t="shared" ca="1" si="142"/>
        <v>#N/A</v>
      </c>
      <c r="AE272" s="377">
        <f t="shared" ca="1" si="121"/>
        <v>251.63715161370007</v>
      </c>
      <c r="AF272" s="344"/>
      <c r="AG272" s="359">
        <f t="shared" ca="1" si="143"/>
        <v>53.151810146094093</v>
      </c>
      <c r="AH272" s="357">
        <f t="shared" ca="1" si="144"/>
        <v>62.7065790727425</v>
      </c>
    </row>
    <row r="273" spans="1:34" x14ac:dyDescent="0.25">
      <c r="A273" s="402">
        <f t="shared" ca="1" si="122"/>
        <v>0.01</v>
      </c>
      <c r="B273" s="357">
        <f t="shared" ca="1" si="123"/>
        <v>2.6899999999999866</v>
      </c>
      <c r="C273" s="342"/>
      <c r="D273" s="359">
        <f t="shared" ca="1" si="124"/>
        <v>14.171305920389752</v>
      </c>
      <c r="E273" s="360">
        <f t="shared" ca="1" si="125"/>
        <v>51.062233131789242</v>
      </c>
      <c r="F273" s="357">
        <f t="shared" ca="1" si="126"/>
        <v>52.992240600813133</v>
      </c>
      <c r="G273" s="359">
        <f t="shared" ca="1" si="127"/>
        <v>41.822942391069205</v>
      </c>
      <c r="H273" s="360">
        <f t="shared" ca="1" si="128"/>
        <v>179.55054450661277</v>
      </c>
      <c r="I273" s="357">
        <f t="shared" ca="1" si="129"/>
        <v>184.35714399737219</v>
      </c>
      <c r="J273" s="359">
        <f t="shared" ca="1" si="130"/>
        <v>55.171115326153945</v>
      </c>
      <c r="K273" s="360">
        <f t="shared" ca="1" si="131"/>
        <v>253.43010394710961</v>
      </c>
      <c r="L273" s="357">
        <f t="shared" ca="1" si="116"/>
        <v>259.36589897859466</v>
      </c>
      <c r="M273" s="359">
        <f t="shared" ca="1" si="132"/>
        <v>1.3419456990494354</v>
      </c>
      <c r="N273" s="357">
        <f t="shared" ca="1" si="133"/>
        <v>76.887824891265581</v>
      </c>
      <c r="O273" s="343"/>
      <c r="P273" s="363">
        <f t="shared" ca="1" si="134"/>
        <v>9</v>
      </c>
      <c r="Q273" s="357">
        <f t="shared" ca="1" si="135"/>
        <v>793.22500000000275</v>
      </c>
      <c r="R273" s="359">
        <f t="shared" ca="1" si="136"/>
        <v>0.39735199263659138</v>
      </c>
      <c r="S273" s="360">
        <f t="shared" ca="1" si="137"/>
        <v>11.216739313835133</v>
      </c>
      <c r="T273" s="357">
        <f t="shared" ca="1" si="117"/>
        <v>110.03621266872265</v>
      </c>
      <c r="U273" s="364">
        <f t="shared" ca="1" si="118"/>
        <v>0</v>
      </c>
      <c r="V273" s="359">
        <f t="shared" ca="1" si="119"/>
        <v>1.1943432790651392</v>
      </c>
      <c r="W273" s="357">
        <f t="shared" ca="1" si="120"/>
        <v>92.693494633616979</v>
      </c>
      <c r="X273" s="343"/>
      <c r="Y273" s="367" t="str">
        <f t="shared" ca="1" si="138"/>
        <v/>
      </c>
      <c r="Z273" s="368" t="str">
        <f t="shared" ca="1" si="139"/>
        <v/>
      </c>
      <c r="AA273" s="369" t="str">
        <f t="shared" ca="1" si="140"/>
        <v/>
      </c>
      <c r="AB273" s="344"/>
      <c r="AC273" s="363" t="e">
        <f t="shared" ca="1" si="141"/>
        <v>#N/A</v>
      </c>
      <c r="AD273" s="376" t="e">
        <f t="shared" ca="1" si="142"/>
        <v>#N/A</v>
      </c>
      <c r="AE273" s="377">
        <f t="shared" ca="1" si="121"/>
        <v>253.43010394710961</v>
      </c>
      <c r="AF273" s="344"/>
      <c r="AG273" s="359">
        <f t="shared" ca="1" si="143"/>
        <v>52.94553743215139</v>
      </c>
      <c r="AH273" s="357">
        <f t="shared" ca="1" si="144"/>
        <v>62.500037423510186</v>
      </c>
    </row>
    <row r="274" spans="1:34" x14ac:dyDescent="0.25">
      <c r="A274" s="402">
        <f t="shared" ca="1" si="122"/>
        <v>0.01</v>
      </c>
      <c r="B274" s="357">
        <f t="shared" ca="1" si="123"/>
        <v>2.6999999999999864</v>
      </c>
      <c r="C274" s="342"/>
      <c r="D274" s="359">
        <f t="shared" ca="1" si="124"/>
        <v>14.131763952678961</v>
      </c>
      <c r="E274" s="360">
        <f t="shared" ca="1" si="125"/>
        <v>50.859234814149616</v>
      </c>
      <c r="F274" s="357">
        <f t="shared" ca="1" si="126"/>
        <v>52.786063674942127</v>
      </c>
      <c r="G274" s="359">
        <f t="shared" ca="1" si="127"/>
        <v>41.964260030595995</v>
      </c>
      <c r="H274" s="360">
        <f t="shared" ca="1" si="128"/>
        <v>180.05913685475426</v>
      </c>
      <c r="I274" s="357">
        <f t="shared" ca="1" si="129"/>
        <v>184.88453662974251</v>
      </c>
      <c r="J274" s="359">
        <f t="shared" ca="1" si="130"/>
        <v>55.590051338262271</v>
      </c>
      <c r="K274" s="360">
        <f t="shared" ca="1" si="131"/>
        <v>255.22815235391644</v>
      </c>
      <c r="L274" s="357">
        <f t="shared" ca="1" si="116"/>
        <v>261.21191313143555</v>
      </c>
      <c r="M274" s="359">
        <f t="shared" ca="1" si="132"/>
        <v>1.3418253277271184</v>
      </c>
      <c r="N274" s="357">
        <f t="shared" ca="1" si="133"/>
        <v>76.880928122522405</v>
      </c>
      <c r="O274" s="343"/>
      <c r="P274" s="363">
        <f t="shared" ca="1" si="134"/>
        <v>9</v>
      </c>
      <c r="Q274" s="357">
        <f t="shared" ca="1" si="135"/>
        <v>791.1750000000028</v>
      </c>
      <c r="R274" s="359">
        <f t="shared" ca="1" si="136"/>
        <v>0.3963250815017873</v>
      </c>
      <c r="S274" s="360">
        <f t="shared" ca="1" si="137"/>
        <v>11.212776063020115</v>
      </c>
      <c r="T274" s="357">
        <f t="shared" ca="1" si="117"/>
        <v>109.99733317822734</v>
      </c>
      <c r="U274" s="364">
        <f t="shared" ca="1" si="118"/>
        <v>0</v>
      </c>
      <c r="V274" s="359">
        <f t="shared" ca="1" si="119"/>
        <v>1.1941285149412437</v>
      </c>
      <c r="W274" s="357">
        <f t="shared" ca="1" si="120"/>
        <v>93.207828492871073</v>
      </c>
      <c r="X274" s="343"/>
      <c r="Y274" s="367" t="str">
        <f t="shared" ca="1" si="138"/>
        <v/>
      </c>
      <c r="Z274" s="368" t="str">
        <f t="shared" ca="1" si="139"/>
        <v/>
      </c>
      <c r="AA274" s="369" t="str">
        <f t="shared" ca="1" si="140"/>
        <v/>
      </c>
      <c r="AB274" s="344"/>
      <c r="AC274" s="363" t="e">
        <f t="shared" ca="1" si="141"/>
        <v>#N/A</v>
      </c>
      <c r="AD274" s="376" t="e">
        <f t="shared" ca="1" si="142"/>
        <v>#N/A</v>
      </c>
      <c r="AE274" s="377">
        <f t="shared" ca="1" si="121"/>
        <v>255.22815235391644</v>
      </c>
      <c r="AF274" s="344"/>
      <c r="AG274" s="359">
        <f t="shared" ca="1" si="143"/>
        <v>52.739129295070384</v>
      </c>
      <c r="AH274" s="357">
        <f t="shared" ca="1" si="144"/>
        <v>62.293360844865809</v>
      </c>
    </row>
    <row r="275" spans="1:34" x14ac:dyDescent="0.25">
      <c r="A275" s="402">
        <f t="shared" ca="1" si="122"/>
        <v>0.01</v>
      </c>
      <c r="B275" s="357">
        <f t="shared" ca="1" si="123"/>
        <v>2.7099999999999862</v>
      </c>
      <c r="C275" s="342"/>
      <c r="D275" s="359">
        <f t="shared" ca="1" si="124"/>
        <v>14.092126032266977</v>
      </c>
      <c r="E275" s="360">
        <f t="shared" ca="1" si="125"/>
        <v>50.65612159891257</v>
      </c>
      <c r="F275" s="357">
        <f t="shared" ca="1" si="126"/>
        <v>52.579755339418547</v>
      </c>
      <c r="G275" s="359">
        <f t="shared" ca="1" si="127"/>
        <v>42.105181290918665</v>
      </c>
      <c r="H275" s="360">
        <f t="shared" ca="1" si="128"/>
        <v>180.56569807074339</v>
      </c>
      <c r="I275" s="357">
        <f t="shared" ca="1" si="129"/>
        <v>185.40986384579435</v>
      </c>
      <c r="J275" s="359">
        <f t="shared" ca="1" si="130"/>
        <v>56.010398544869844</v>
      </c>
      <c r="K275" s="360">
        <f t="shared" ca="1" si="131"/>
        <v>257.03127652854391</v>
      </c>
      <c r="L275" s="357">
        <f t="shared" ca="1" si="116"/>
        <v>263.06318985948599</v>
      </c>
      <c r="M275" s="359">
        <f t="shared" ca="1" si="132"/>
        <v>1.3417052354295373</v>
      </c>
      <c r="N275" s="357">
        <f t="shared" ca="1" si="133"/>
        <v>76.874047340718974</v>
      </c>
      <c r="O275" s="343"/>
      <c r="P275" s="363">
        <f t="shared" ca="1" si="134"/>
        <v>9</v>
      </c>
      <c r="Q275" s="357">
        <f t="shared" ca="1" si="135"/>
        <v>789.12500000000284</v>
      </c>
      <c r="R275" s="359">
        <f t="shared" ca="1" si="136"/>
        <v>0.39529817036698317</v>
      </c>
      <c r="S275" s="360">
        <f t="shared" ca="1" si="137"/>
        <v>11.208823081316446</v>
      </c>
      <c r="T275" s="357">
        <f t="shared" ca="1" si="117"/>
        <v>109.95855442771433</v>
      </c>
      <c r="U275" s="364">
        <f t="shared" ca="1" si="118"/>
        <v>0</v>
      </c>
      <c r="V275" s="359">
        <f t="shared" ca="1" si="119"/>
        <v>1.1939131828401437</v>
      </c>
      <c r="W275" s="357">
        <f t="shared" ca="1" si="120"/>
        <v>93.721355291104985</v>
      </c>
      <c r="X275" s="343"/>
      <c r="Y275" s="367" t="str">
        <f t="shared" ca="1" si="138"/>
        <v/>
      </c>
      <c r="Z275" s="368" t="str">
        <f t="shared" ca="1" si="139"/>
        <v/>
      </c>
      <c r="AA275" s="369" t="str">
        <f t="shared" ca="1" si="140"/>
        <v/>
      </c>
      <c r="AB275" s="344"/>
      <c r="AC275" s="363" t="e">
        <f t="shared" ca="1" si="141"/>
        <v>#N/A</v>
      </c>
      <c r="AD275" s="376" t="e">
        <f t="shared" ca="1" si="142"/>
        <v>#N/A</v>
      </c>
      <c r="AE275" s="377">
        <f t="shared" ca="1" si="121"/>
        <v>257.03127652854391</v>
      </c>
      <c r="AF275" s="344"/>
      <c r="AG275" s="359">
        <f t="shared" ca="1" si="143"/>
        <v>52.532587904645801</v>
      </c>
      <c r="AH275" s="357">
        <f t="shared" ca="1" si="144"/>
        <v>62.086551501301621</v>
      </c>
    </row>
    <row r="276" spans="1:34" x14ac:dyDescent="0.25">
      <c r="A276" s="402">
        <f t="shared" ca="1" si="122"/>
        <v>0.01</v>
      </c>
      <c r="B276" s="357">
        <f t="shared" ca="1" si="123"/>
        <v>2.719999999999986</v>
      </c>
      <c r="C276" s="342"/>
      <c r="D276" s="359">
        <f t="shared" ca="1" si="124"/>
        <v>14.05239294494416</v>
      </c>
      <c r="E276" s="360">
        <f t="shared" ca="1" si="125"/>
        <v>50.452895536219906</v>
      </c>
      <c r="F276" s="357">
        <f t="shared" ca="1" si="126"/>
        <v>52.373317781746792</v>
      </c>
      <c r="G276" s="359">
        <f t="shared" ca="1" si="127"/>
        <v>42.245705220368109</v>
      </c>
      <c r="H276" s="360">
        <f t="shared" ca="1" si="128"/>
        <v>181.07022702610558</v>
      </c>
      <c r="I276" s="357">
        <f t="shared" ca="1" si="129"/>
        <v>185.93312433466949</v>
      </c>
      <c r="J276" s="359">
        <f t="shared" ca="1" si="130"/>
        <v>56.432152977426277</v>
      </c>
      <c r="K276" s="360">
        <f t="shared" ca="1" si="131"/>
        <v>258.83945615402814</v>
      </c>
      <c r="L276" s="357">
        <f t="shared" ca="1" si="116"/>
        <v>264.91970850010517</v>
      </c>
      <c r="M276" s="359">
        <f t="shared" ca="1" si="132"/>
        <v>1.3415854193933321</v>
      </c>
      <c r="N276" s="357">
        <f t="shared" ca="1" si="133"/>
        <v>76.867182387526427</v>
      </c>
      <c r="O276" s="343"/>
      <c r="P276" s="363">
        <f t="shared" ca="1" si="134"/>
        <v>9</v>
      </c>
      <c r="Q276" s="357">
        <f t="shared" ca="1" si="135"/>
        <v>787.07500000000289</v>
      </c>
      <c r="R276" s="359">
        <f t="shared" ca="1" si="136"/>
        <v>0.39427125923217904</v>
      </c>
      <c r="S276" s="360">
        <f t="shared" ca="1" si="137"/>
        <v>11.204880368724124</v>
      </c>
      <c r="T276" s="357">
        <f t="shared" ca="1" si="117"/>
        <v>109.91987641718366</v>
      </c>
      <c r="U276" s="364">
        <f t="shared" ca="1" si="118"/>
        <v>0</v>
      </c>
      <c r="V276" s="359">
        <f t="shared" ca="1" si="119"/>
        <v>1.1936972855009849</v>
      </c>
      <c r="W276" s="357">
        <f t="shared" ca="1" si="120"/>
        <v>94.234055722860589</v>
      </c>
      <c r="X276" s="343"/>
      <c r="Y276" s="367" t="str">
        <f t="shared" ca="1" si="138"/>
        <v/>
      </c>
      <c r="Z276" s="368" t="str">
        <f t="shared" ca="1" si="139"/>
        <v/>
      </c>
      <c r="AA276" s="369" t="str">
        <f t="shared" ca="1" si="140"/>
        <v/>
      </c>
      <c r="AB276" s="344"/>
      <c r="AC276" s="363" t="e">
        <f t="shared" ca="1" si="141"/>
        <v>#N/A</v>
      </c>
      <c r="AD276" s="376" t="e">
        <f t="shared" ca="1" si="142"/>
        <v>#N/A</v>
      </c>
      <c r="AE276" s="377">
        <f t="shared" ca="1" si="121"/>
        <v>258.83945615402814</v>
      </c>
      <c r="AF276" s="344"/>
      <c r="AG276" s="359">
        <f t="shared" ca="1" si="143"/>
        <v>52.325915425809789</v>
      </c>
      <c r="AH276" s="357">
        <f t="shared" ca="1" si="144"/>
        <v>61.879611552501444</v>
      </c>
    </row>
    <row r="277" spans="1:34" x14ac:dyDescent="0.25">
      <c r="A277" s="402">
        <f t="shared" ca="1" si="122"/>
        <v>0.01</v>
      </c>
      <c r="B277" s="357">
        <f t="shared" ca="1" si="123"/>
        <v>2.7299999999999858</v>
      </c>
      <c r="C277" s="342"/>
      <c r="D277" s="359">
        <f t="shared" ca="1" si="124"/>
        <v>14.012565472487307</v>
      </c>
      <c r="E277" s="360">
        <f t="shared" ca="1" si="125"/>
        <v>50.249558671969957</v>
      </c>
      <c r="F277" s="357">
        <f t="shared" ca="1" si="126"/>
        <v>52.166753184844609</v>
      </c>
      <c r="G277" s="359">
        <f t="shared" ca="1" si="127"/>
        <v>42.385830875092985</v>
      </c>
      <c r="H277" s="360">
        <f t="shared" ca="1" si="128"/>
        <v>181.57272261282529</v>
      </c>
      <c r="I277" s="357">
        <f t="shared" ca="1" si="129"/>
        <v>186.45431680710956</v>
      </c>
      <c r="J277" s="359">
        <f t="shared" ca="1" si="130"/>
        <v>56.85531065790358</v>
      </c>
      <c r="K277" s="360">
        <f t="shared" ca="1" si="131"/>
        <v>260.65267090222278</v>
      </c>
      <c r="L277" s="357">
        <f t="shared" ca="1" si="116"/>
        <v>266.78144837763585</v>
      </c>
      <c r="M277" s="359">
        <f t="shared" ca="1" si="132"/>
        <v>1.3414658768853409</v>
      </c>
      <c r="N277" s="357">
        <f t="shared" ca="1" si="133"/>
        <v>76.860333106346133</v>
      </c>
      <c r="O277" s="343"/>
      <c r="P277" s="363">
        <f t="shared" ca="1" si="134"/>
        <v>9</v>
      </c>
      <c r="Q277" s="357">
        <f t="shared" ca="1" si="135"/>
        <v>785.02500000000293</v>
      </c>
      <c r="R277" s="359">
        <f t="shared" ca="1" si="136"/>
        <v>0.39324434809737496</v>
      </c>
      <c r="S277" s="360">
        <f t="shared" ca="1" si="137"/>
        <v>11.200947925243151</v>
      </c>
      <c r="T277" s="357">
        <f t="shared" ca="1" si="117"/>
        <v>109.88129914663531</v>
      </c>
      <c r="U277" s="364">
        <f t="shared" ca="1" si="118"/>
        <v>0</v>
      </c>
      <c r="V277" s="359">
        <f t="shared" ca="1" si="119"/>
        <v>1.1934808256632532</v>
      </c>
      <c r="W277" s="357">
        <f t="shared" ca="1" si="120"/>
        <v>94.745910579841677</v>
      </c>
      <c r="X277" s="343"/>
      <c r="Y277" s="367" t="str">
        <f t="shared" ca="1" si="138"/>
        <v/>
      </c>
      <c r="Z277" s="368" t="str">
        <f t="shared" ca="1" si="139"/>
        <v/>
      </c>
      <c r="AA277" s="369" t="str">
        <f t="shared" ca="1" si="140"/>
        <v/>
      </c>
      <c r="AB277" s="344"/>
      <c r="AC277" s="363" t="e">
        <f t="shared" ca="1" si="141"/>
        <v>#N/A</v>
      </c>
      <c r="AD277" s="376" t="e">
        <f t="shared" ca="1" si="142"/>
        <v>#N/A</v>
      </c>
      <c r="AE277" s="377">
        <f t="shared" ca="1" si="121"/>
        <v>260.65267090222278</v>
      </c>
      <c r="AF277" s="344"/>
      <c r="AG277" s="359">
        <f t="shared" ca="1" si="143"/>
        <v>52.119114018566933</v>
      </c>
      <c r="AH277" s="357">
        <f t="shared" ca="1" si="144"/>
        <v>61.672543153274823</v>
      </c>
    </row>
    <row r="278" spans="1:34" x14ac:dyDescent="0.25">
      <c r="A278" s="402">
        <f t="shared" ca="1" si="122"/>
        <v>0.01</v>
      </c>
      <c r="B278" s="357">
        <f t="shared" ca="1" si="123"/>
        <v>2.7399999999999856</v>
      </c>
      <c r="C278" s="342"/>
      <c r="D278" s="359">
        <f t="shared" ca="1" si="124"/>
        <v>13.97264439269351</v>
      </c>
      <c r="E278" s="360">
        <f t="shared" ca="1" si="125"/>
        <v>50.046113047745507</v>
      </c>
      <c r="F278" s="357">
        <f t="shared" ca="1" si="126"/>
        <v>51.960063726985481</v>
      </c>
      <c r="G278" s="359">
        <f t="shared" ca="1" si="127"/>
        <v>42.525557319019917</v>
      </c>
      <c r="H278" s="360">
        <f t="shared" ca="1" si="128"/>
        <v>182.07318374330274</v>
      </c>
      <c r="I278" s="357">
        <f t="shared" ca="1" si="129"/>
        <v>186.9734399954061</v>
      </c>
      <c r="J278" s="359">
        <f t="shared" ca="1" si="130"/>
        <v>57.279867598874148</v>
      </c>
      <c r="K278" s="360">
        <f t="shared" ca="1" si="131"/>
        <v>262.4709004340034</v>
      </c>
      <c r="L278" s="357">
        <f t="shared" ca="1" si="116"/>
        <v>268.64838880362021</v>
      </c>
      <c r="M278" s="359">
        <f t="shared" ca="1" si="132"/>
        <v>1.3413466052021183</v>
      </c>
      <c r="N278" s="357">
        <f t="shared" ca="1" si="133"/>
        <v>76.853499342282049</v>
      </c>
      <c r="O278" s="343"/>
      <c r="P278" s="363">
        <f t="shared" ca="1" si="134"/>
        <v>9</v>
      </c>
      <c r="Q278" s="357">
        <f t="shared" ca="1" si="135"/>
        <v>782.97500000000298</v>
      </c>
      <c r="R278" s="359">
        <f t="shared" ca="1" si="136"/>
        <v>0.39221743696257083</v>
      </c>
      <c r="S278" s="360">
        <f t="shared" ca="1" si="137"/>
        <v>11.197025750873525</v>
      </c>
      <c r="T278" s="357">
        <f t="shared" ca="1" si="117"/>
        <v>109.84282261606928</v>
      </c>
      <c r="U278" s="364">
        <f t="shared" ca="1" si="118"/>
        <v>0</v>
      </c>
      <c r="V278" s="359">
        <f t="shared" ca="1" si="119"/>
        <v>1.1932638060667351</v>
      </c>
      <c r="W278" s="357">
        <f t="shared" ca="1" si="120"/>
        <v>95.256900751320316</v>
      </c>
      <c r="X278" s="343"/>
      <c r="Y278" s="367" t="str">
        <f t="shared" ca="1" si="138"/>
        <v/>
      </c>
      <c r="Z278" s="368" t="str">
        <f t="shared" ca="1" si="139"/>
        <v/>
      </c>
      <c r="AA278" s="369" t="str">
        <f t="shared" ca="1" si="140"/>
        <v/>
      </c>
      <c r="AB278" s="344"/>
      <c r="AC278" s="363" t="e">
        <f t="shared" ca="1" si="141"/>
        <v>#N/A</v>
      </c>
      <c r="AD278" s="376" t="e">
        <f t="shared" ca="1" si="142"/>
        <v>#N/A</v>
      </c>
      <c r="AE278" s="377">
        <f t="shared" ca="1" si="121"/>
        <v>262.4709004340034</v>
      </c>
      <c r="AF278" s="344"/>
      <c r="AG278" s="359">
        <f t="shared" ca="1" si="143"/>
        <v>51.912185837929826</v>
      </c>
      <c r="AH278" s="357">
        <f t="shared" ca="1" si="144"/>
        <v>61.465348453491742</v>
      </c>
    </row>
    <row r="279" spans="1:34" x14ac:dyDescent="0.25">
      <c r="A279" s="402">
        <f t="shared" ca="1" si="122"/>
        <v>0.01</v>
      </c>
      <c r="B279" s="357">
        <f t="shared" ca="1" si="123"/>
        <v>2.7499999999999853</v>
      </c>
      <c r="C279" s="342"/>
      <c r="D279" s="359">
        <f t="shared" ca="1" si="124"/>
        <v>13.932630479413184</v>
      </c>
      <c r="E279" s="360">
        <f t="shared" ca="1" si="125"/>
        <v>49.842560700742453</v>
      </c>
      <c r="F279" s="357">
        <f t="shared" ca="1" si="126"/>
        <v>51.753251581741885</v>
      </c>
      <c r="G279" s="359">
        <f t="shared" ca="1" si="127"/>
        <v>42.664883623814049</v>
      </c>
      <c r="H279" s="360">
        <f t="shared" ca="1" si="128"/>
        <v>182.57160935031015</v>
      </c>
      <c r="I279" s="357">
        <f t="shared" ca="1" si="129"/>
        <v>187.49049265334992</v>
      </c>
      <c r="J279" s="359">
        <f t="shared" ca="1" si="130"/>
        <v>57.705819803588319</v>
      </c>
      <c r="K279" s="360">
        <f t="shared" ca="1" si="131"/>
        <v>264.29412439947146</v>
      </c>
      <c r="L279" s="357">
        <f t="shared" ca="1" si="116"/>
        <v>270.52050907701528</v>
      </c>
      <c r="M279" s="359">
        <f t="shared" ca="1" si="132"/>
        <v>1.3412276016694622</v>
      </c>
      <c r="N279" s="357">
        <f t="shared" ca="1" si="133"/>
        <v>76.846680942113707</v>
      </c>
      <c r="O279" s="343"/>
      <c r="P279" s="363">
        <f t="shared" ca="1" si="134"/>
        <v>9</v>
      </c>
      <c r="Q279" s="357">
        <f t="shared" ca="1" si="135"/>
        <v>780.92500000000302</v>
      </c>
      <c r="R279" s="359">
        <f t="shared" ca="1" si="136"/>
        <v>0.3911905258277667</v>
      </c>
      <c r="S279" s="360">
        <f t="shared" ca="1" si="137"/>
        <v>11.193113845615247</v>
      </c>
      <c r="T279" s="357">
        <f t="shared" ca="1" si="117"/>
        <v>109.80444682548558</v>
      </c>
      <c r="U279" s="364">
        <f t="shared" ca="1" si="118"/>
        <v>0</v>
      </c>
      <c r="V279" s="359">
        <f t="shared" ca="1" si="119"/>
        <v>1.1930462294514839</v>
      </c>
      <c r="W279" s="357">
        <f t="shared" ca="1" si="120"/>
        <v>95.767007224536798</v>
      </c>
      <c r="X279" s="343"/>
      <c r="Y279" s="367" t="str">
        <f t="shared" ca="1" si="138"/>
        <v/>
      </c>
      <c r="Z279" s="368" t="str">
        <f t="shared" ca="1" si="139"/>
        <v/>
      </c>
      <c r="AA279" s="369" t="str">
        <f t="shared" ca="1" si="140"/>
        <v/>
      </c>
      <c r="AB279" s="344"/>
      <c r="AC279" s="363" t="e">
        <f t="shared" ca="1" si="141"/>
        <v>#N/A</v>
      </c>
      <c r="AD279" s="376" t="e">
        <f t="shared" ca="1" si="142"/>
        <v>#N/A</v>
      </c>
      <c r="AE279" s="377">
        <f t="shared" ca="1" si="121"/>
        <v>264.29412439947146</v>
      </c>
      <c r="AF279" s="344"/>
      <c r="AG279" s="359">
        <f t="shared" ca="1" si="143"/>
        <v>51.705133033855169</v>
      </c>
      <c r="AH279" s="357">
        <f t="shared" ca="1" si="144"/>
        <v>61.258029598017892</v>
      </c>
    </row>
    <row r="280" spans="1:34" x14ac:dyDescent="0.25">
      <c r="A280" s="402">
        <f t="shared" ca="1" si="122"/>
        <v>0.01</v>
      </c>
      <c r="B280" s="357">
        <f t="shared" ca="1" si="123"/>
        <v>2.7599999999999851</v>
      </c>
      <c r="C280" s="342"/>
      <c r="D280" s="359">
        <f t="shared" ca="1" si="124"/>
        <v>13.892524502582225</v>
      </c>
      <c r="E280" s="360">
        <f t="shared" ca="1" si="125"/>
        <v>49.638903663699082</v>
      </c>
      <c r="F280" s="357">
        <f t="shared" ca="1" si="126"/>
        <v>51.546318917929007</v>
      </c>
      <c r="G280" s="359">
        <f t="shared" ca="1" si="127"/>
        <v>42.803808868839873</v>
      </c>
      <c r="H280" s="360">
        <f t="shared" ca="1" si="128"/>
        <v>183.06799838694715</v>
      </c>
      <c r="I280" s="357">
        <f t="shared" ca="1" si="129"/>
        <v>188.00547355617991</v>
      </c>
      <c r="J280" s="359">
        <f t="shared" ca="1" si="130"/>
        <v>58.133163266051589</v>
      </c>
      <c r="K280" s="360">
        <f t="shared" ca="1" si="131"/>
        <v>266.12232243815777</v>
      </c>
      <c r="L280" s="357">
        <f t="shared" ca="1" si="116"/>
        <v>272.3977884844079</v>
      </c>
      <c r="M280" s="359">
        <f t="shared" ca="1" si="132"/>
        <v>1.3411088636419513</v>
      </c>
      <c r="N280" s="357">
        <f t="shared" ca="1" si="133"/>
        <v>76.839877754269622</v>
      </c>
      <c r="O280" s="343"/>
      <c r="P280" s="363">
        <f t="shared" ca="1" si="134"/>
        <v>9</v>
      </c>
      <c r="Q280" s="357">
        <f t="shared" ca="1" si="135"/>
        <v>778.87500000000307</v>
      </c>
      <c r="R280" s="359">
        <f t="shared" ca="1" si="136"/>
        <v>0.39016361469296262</v>
      </c>
      <c r="S280" s="360">
        <f t="shared" ca="1" si="137"/>
        <v>11.189212209468318</v>
      </c>
      <c r="T280" s="357">
        <f t="shared" ca="1" si="117"/>
        <v>109.7661717748842</v>
      </c>
      <c r="U280" s="364">
        <f t="shared" ca="1" si="118"/>
        <v>0</v>
      </c>
      <c r="V280" s="359">
        <f t="shared" ca="1" si="119"/>
        <v>1.1928280985577786</v>
      </c>
      <c r="W280" s="357">
        <f t="shared" ca="1" si="120"/>
        <v>96.276211085091759</v>
      </c>
      <c r="X280" s="343"/>
      <c r="Y280" s="367" t="str">
        <f t="shared" ca="1" si="138"/>
        <v/>
      </c>
      <c r="Z280" s="368" t="str">
        <f t="shared" ca="1" si="139"/>
        <v/>
      </c>
      <c r="AA280" s="369" t="str">
        <f t="shared" ca="1" si="140"/>
        <v/>
      </c>
      <c r="AB280" s="344"/>
      <c r="AC280" s="363" t="e">
        <f t="shared" ca="1" si="141"/>
        <v>#N/A</v>
      </c>
      <c r="AD280" s="376" t="e">
        <f t="shared" ca="1" si="142"/>
        <v>#N/A</v>
      </c>
      <c r="AE280" s="377">
        <f t="shared" ca="1" si="121"/>
        <v>266.12232243815777</v>
      </c>
      <c r="AF280" s="344"/>
      <c r="AG280" s="359">
        <f t="shared" ca="1" si="143"/>
        <v>51.497957751180358</v>
      </c>
      <c r="AH280" s="357">
        <f t="shared" ca="1" si="144"/>
        <v>61.050588726650474</v>
      </c>
    </row>
    <row r="281" spans="1:34" x14ac:dyDescent="0.25">
      <c r="A281" s="402">
        <f t="shared" ca="1" si="122"/>
        <v>0.01</v>
      </c>
      <c r="B281" s="357">
        <f t="shared" ca="1" si="123"/>
        <v>2.7699999999999849</v>
      </c>
      <c r="C281" s="342"/>
      <c r="D281" s="359">
        <f t="shared" ca="1" si="124"/>
        <v>13.852327228253221</v>
      </c>
      <c r="E281" s="360">
        <f t="shared" ca="1" si="125"/>
        <v>49.43514396482626</v>
      </c>
      <c r="F281" s="357">
        <f t="shared" ca="1" si="126"/>
        <v>51.339267899549405</v>
      </c>
      <c r="G281" s="359">
        <f t="shared" ca="1" si="127"/>
        <v>42.942332141122407</v>
      </c>
      <c r="H281" s="360">
        <f t="shared" ca="1" si="128"/>
        <v>183.56234982659541</v>
      </c>
      <c r="I281" s="357">
        <f t="shared" ca="1" si="129"/>
        <v>188.51838150053129</v>
      </c>
      <c r="J281" s="359">
        <f t="shared" ca="1" si="130"/>
        <v>58.561893971101398</v>
      </c>
      <c r="K281" s="360">
        <f t="shared" ca="1" si="131"/>
        <v>267.95547417922546</v>
      </c>
      <c r="L281" s="357">
        <f t="shared" ca="1" si="116"/>
        <v>274.28020630022883</v>
      </c>
      <c r="M281" s="359">
        <f t="shared" ca="1" si="132"/>
        <v>1.3409903885024896</v>
      </c>
      <c r="N281" s="357">
        <f t="shared" ca="1" si="133"/>
        <v>76.833089628801247</v>
      </c>
      <c r="O281" s="343"/>
      <c r="P281" s="363">
        <f t="shared" ca="1" si="134"/>
        <v>9</v>
      </c>
      <c r="Q281" s="357">
        <f t="shared" ca="1" si="135"/>
        <v>776.82500000000312</v>
      </c>
      <c r="R281" s="359">
        <f t="shared" ca="1" si="136"/>
        <v>0.38913670355815849</v>
      </c>
      <c r="S281" s="360">
        <f t="shared" ca="1" si="137"/>
        <v>11.185320842432736</v>
      </c>
      <c r="T281" s="357">
        <f t="shared" ca="1" si="117"/>
        <v>109.72799746426514</v>
      </c>
      <c r="U281" s="364">
        <f t="shared" ca="1" si="118"/>
        <v>0</v>
      </c>
      <c r="V281" s="359">
        <f t="shared" ca="1" si="119"/>
        <v>1.1926094161260887</v>
      </c>
      <c r="W281" s="357">
        <f t="shared" ca="1" si="120"/>
        <v>96.784493517332265</v>
      </c>
      <c r="X281" s="343"/>
      <c r="Y281" s="367" t="str">
        <f t="shared" ca="1" si="138"/>
        <v/>
      </c>
      <c r="Z281" s="368" t="str">
        <f t="shared" ca="1" si="139"/>
        <v/>
      </c>
      <c r="AA281" s="369" t="str">
        <f t="shared" ca="1" si="140"/>
        <v/>
      </c>
      <c r="AB281" s="344"/>
      <c r="AC281" s="363" t="e">
        <f t="shared" ca="1" si="141"/>
        <v>#N/A</v>
      </c>
      <c r="AD281" s="376" t="e">
        <f t="shared" ca="1" si="142"/>
        <v>#N/A</v>
      </c>
      <c r="AE281" s="377">
        <f t="shared" ca="1" si="121"/>
        <v>267.95547417922546</v>
      </c>
      <c r="AF281" s="344"/>
      <c r="AG281" s="359">
        <f t="shared" ca="1" si="143"/>
        <v>51.290662129560758</v>
      </c>
      <c r="AH281" s="357">
        <f t="shared" ca="1" si="144"/>
        <v>60.843027974054642</v>
      </c>
    </row>
    <row r="282" spans="1:34" x14ac:dyDescent="0.25">
      <c r="A282" s="402">
        <f t="shared" ca="1" si="122"/>
        <v>0.01</v>
      </c>
      <c r="B282" s="357">
        <f t="shared" ca="1" si="123"/>
        <v>2.7799999999999847</v>
      </c>
      <c r="C282" s="342"/>
      <c r="D282" s="359">
        <f t="shared" ca="1" si="124"/>
        <v>13.812039418625966</v>
      </c>
      <c r="E282" s="360">
        <f t="shared" ca="1" si="125"/>
        <v>49.231283627738151</v>
      </c>
      <c r="F282" s="357">
        <f t="shared" ca="1" si="126"/>
        <v>51.132100685738266</v>
      </c>
      <c r="G282" s="359">
        <f t="shared" ca="1" si="127"/>
        <v>43.080452535308666</v>
      </c>
      <c r="H282" s="360">
        <f t="shared" ca="1" si="128"/>
        <v>184.0546626628728</v>
      </c>
      <c r="I282" s="357">
        <f t="shared" ca="1" si="129"/>
        <v>189.02921530438326</v>
      </c>
      <c r="J282" s="359">
        <f t="shared" ca="1" si="130"/>
        <v>58.992007894483557</v>
      </c>
      <c r="K282" s="360">
        <f t="shared" ca="1" si="131"/>
        <v>269.79355924167282</v>
      </c>
      <c r="L282" s="357">
        <f t="shared" ca="1" si="116"/>
        <v>276.16774178696693</v>
      </c>
      <c r="M282" s="359">
        <f t="shared" ca="1" si="132"/>
        <v>1.3408721736618625</v>
      </c>
      <c r="N282" s="357">
        <f t="shared" ca="1" si="133"/>
        <v>76.826316417357503</v>
      </c>
      <c r="O282" s="343"/>
      <c r="P282" s="363">
        <f t="shared" ca="1" si="134"/>
        <v>9</v>
      </c>
      <c r="Q282" s="357">
        <f t="shared" ca="1" si="135"/>
        <v>774.77500000000316</v>
      </c>
      <c r="R282" s="359">
        <f t="shared" ca="1" si="136"/>
        <v>0.38810979242335442</v>
      </c>
      <c r="S282" s="360">
        <f t="shared" ca="1" si="137"/>
        <v>11.181439744508502</v>
      </c>
      <c r="T282" s="357">
        <f t="shared" ca="1" si="117"/>
        <v>109.68992389362842</v>
      </c>
      <c r="U282" s="364">
        <f t="shared" ca="1" si="118"/>
        <v>0</v>
      </c>
      <c r="V282" s="359">
        <f t="shared" ca="1" si="119"/>
        <v>1.1923901848970373</v>
      </c>
      <c r="W282" s="357">
        <f t="shared" ca="1" si="120"/>
        <v>97.291835804730241</v>
      </c>
      <c r="X282" s="343"/>
      <c r="Y282" s="367" t="str">
        <f t="shared" ca="1" si="138"/>
        <v/>
      </c>
      <c r="Z282" s="368" t="str">
        <f t="shared" ca="1" si="139"/>
        <v/>
      </c>
      <c r="AA282" s="369" t="str">
        <f t="shared" ca="1" si="140"/>
        <v/>
      </c>
      <c r="AB282" s="344"/>
      <c r="AC282" s="363" t="e">
        <f t="shared" ca="1" si="141"/>
        <v>#N/A</v>
      </c>
      <c r="AD282" s="376" t="e">
        <f t="shared" ca="1" si="142"/>
        <v>#N/A</v>
      </c>
      <c r="AE282" s="377">
        <f t="shared" ca="1" si="121"/>
        <v>269.79355924167282</v>
      </c>
      <c r="AF282" s="344"/>
      <c r="AG282" s="359">
        <f t="shared" ca="1" si="143"/>
        <v>51.083248303407387</v>
      </c>
      <c r="AH282" s="357">
        <f t="shared" ca="1" si="144"/>
        <v>60.635349469700422</v>
      </c>
    </row>
    <row r="283" spans="1:34" x14ac:dyDescent="0.25">
      <c r="A283" s="402">
        <f t="shared" ca="1" si="122"/>
        <v>0.01</v>
      </c>
      <c r="B283" s="357">
        <f t="shared" ca="1" si="123"/>
        <v>2.7899999999999845</v>
      </c>
      <c r="C283" s="342"/>
      <c r="D283" s="359">
        <f t="shared" ca="1" si="124"/>
        <v>13.771661832077003</v>
      </c>
      <c r="E283" s="360">
        <f t="shared" ca="1" si="125"/>
        <v>49.027324671383781</v>
      </c>
      <c r="F283" s="357">
        <f t="shared" ca="1" si="126"/>
        <v>50.924819430709455</v>
      </c>
      <c r="G283" s="359">
        <f t="shared" ca="1" si="127"/>
        <v>43.218169153629439</v>
      </c>
      <c r="H283" s="360">
        <f t="shared" ca="1" si="128"/>
        <v>184.54493590958663</v>
      </c>
      <c r="I283" s="357">
        <f t="shared" ca="1" si="129"/>
        <v>189.53797380700567</v>
      </c>
      <c r="J283" s="359">
        <f t="shared" ca="1" si="130"/>
        <v>59.423501002928248</v>
      </c>
      <c r="K283" s="360">
        <f t="shared" ca="1" si="131"/>
        <v>271.63655723453513</v>
      </c>
      <c r="L283" s="357">
        <f t="shared" ca="1" si="116"/>
        <v>278.06037419538205</v>
      </c>
      <c r="M283" s="359">
        <f t="shared" ca="1" si="132"/>
        <v>1.3407542165582971</v>
      </c>
      <c r="N283" s="357">
        <f t="shared" ca="1" si="133"/>
        <v>76.819557973159618</v>
      </c>
      <c r="O283" s="343"/>
      <c r="P283" s="363">
        <f t="shared" ca="1" si="134"/>
        <v>9</v>
      </c>
      <c r="Q283" s="357">
        <f t="shared" ca="1" si="135"/>
        <v>772.72500000000321</v>
      </c>
      <c r="R283" s="359">
        <f t="shared" ca="1" si="136"/>
        <v>0.38708288128855028</v>
      </c>
      <c r="S283" s="360">
        <f t="shared" ca="1" si="137"/>
        <v>11.177568915695616</v>
      </c>
      <c r="T283" s="357">
        <f t="shared" ca="1" si="117"/>
        <v>109.65195106297401</v>
      </c>
      <c r="U283" s="364">
        <f t="shared" ca="1" si="118"/>
        <v>0</v>
      </c>
      <c r="V283" s="359">
        <f t="shared" ca="1" si="119"/>
        <v>1.1921704076113626</v>
      </c>
      <c r="W283" s="357">
        <f t="shared" ca="1" si="120"/>
        <v>97.798219330254113</v>
      </c>
      <c r="X283" s="343"/>
      <c r="Y283" s="367" t="str">
        <f t="shared" ca="1" si="138"/>
        <v/>
      </c>
      <c r="Z283" s="368" t="str">
        <f t="shared" ca="1" si="139"/>
        <v/>
      </c>
      <c r="AA283" s="369" t="str">
        <f t="shared" ca="1" si="140"/>
        <v/>
      </c>
      <c r="AB283" s="344"/>
      <c r="AC283" s="363" t="e">
        <f t="shared" ca="1" si="141"/>
        <v>#N/A</v>
      </c>
      <c r="AD283" s="376" t="e">
        <f t="shared" ca="1" si="142"/>
        <v>#N/A</v>
      </c>
      <c r="AE283" s="377">
        <f t="shared" ca="1" si="121"/>
        <v>271.63655723453513</v>
      </c>
      <c r="AF283" s="344"/>
      <c r="AG283" s="359">
        <f t="shared" ca="1" si="143"/>
        <v>50.875718401825246</v>
      </c>
      <c r="AH283" s="357">
        <f t="shared" ca="1" si="144"/>
        <v>60.427555337800264</v>
      </c>
    </row>
    <row r="284" spans="1:34" x14ac:dyDescent="0.25">
      <c r="A284" s="402">
        <f t="shared" ca="1" si="122"/>
        <v>0.01</v>
      </c>
      <c r="B284" s="357">
        <f t="shared" ca="1" si="123"/>
        <v>2.7999999999999843</v>
      </c>
      <c r="C284" s="342"/>
      <c r="D284" s="359">
        <f t="shared" ca="1" si="124"/>
        <v>13.731195223188566</v>
      </c>
      <c r="E284" s="360">
        <f t="shared" ca="1" si="125"/>
        <v>48.823269109979172</v>
      </c>
      <c r="F284" s="357">
        <f t="shared" ca="1" si="126"/>
        <v>50.71742628370216</v>
      </c>
      <c r="G284" s="359">
        <f t="shared" ca="1" si="127"/>
        <v>43.355481105861323</v>
      </c>
      <c r="H284" s="360">
        <f t="shared" ca="1" si="128"/>
        <v>185.03316860068642</v>
      </c>
      <c r="I284" s="357">
        <f t="shared" ca="1" si="129"/>
        <v>190.04465586890558</v>
      </c>
      <c r="J284" s="359">
        <f t="shared" ca="1" si="130"/>
        <v>59.856369254225704</v>
      </c>
      <c r="K284" s="360">
        <f t="shared" ca="1" si="131"/>
        <v>273.48444775708651</v>
      </c>
      <c r="L284" s="357">
        <f t="shared" ca="1" si="116"/>
        <v>279.9580827647182</v>
      </c>
      <c r="M284" s="359">
        <f t="shared" ca="1" si="132"/>
        <v>1.3406365146570358</v>
      </c>
      <c r="N284" s="357">
        <f t="shared" ca="1" si="133"/>
        <v>76.812814150976678</v>
      </c>
      <c r="O284" s="343"/>
      <c r="P284" s="363">
        <f t="shared" ca="1" si="134"/>
        <v>9</v>
      </c>
      <c r="Q284" s="357">
        <f t="shared" ca="1" si="135"/>
        <v>770.67500000000325</v>
      </c>
      <c r="R284" s="359">
        <f t="shared" ca="1" si="136"/>
        <v>0.38605597015374615</v>
      </c>
      <c r="S284" s="360">
        <f t="shared" ca="1" si="137"/>
        <v>11.173708355994078</v>
      </c>
      <c r="T284" s="357">
        <f t="shared" ca="1" si="117"/>
        <v>109.61407897230191</v>
      </c>
      <c r="U284" s="364">
        <f t="shared" ca="1" si="118"/>
        <v>0</v>
      </c>
      <c r="V284" s="359">
        <f t="shared" ca="1" si="119"/>
        <v>1.1919500870098829</v>
      </c>
      <c r="W284" s="357">
        <f t="shared" ca="1" si="120"/>
        <v>98.303625576733666</v>
      </c>
      <c r="X284" s="343"/>
      <c r="Y284" s="367" t="str">
        <f t="shared" ca="1" si="138"/>
        <v/>
      </c>
      <c r="Z284" s="368" t="str">
        <f t="shared" ca="1" si="139"/>
        <v/>
      </c>
      <c r="AA284" s="369" t="str">
        <f t="shared" ca="1" si="140"/>
        <v/>
      </c>
      <c r="AB284" s="344"/>
      <c r="AC284" s="363" t="e">
        <f t="shared" ca="1" si="141"/>
        <v>#N/A</v>
      </c>
      <c r="AD284" s="376" t="e">
        <f t="shared" ca="1" si="142"/>
        <v>#N/A</v>
      </c>
      <c r="AE284" s="377">
        <f t="shared" ca="1" si="121"/>
        <v>273.48444775708651</v>
      </c>
      <c r="AF284" s="344"/>
      <c r="AG284" s="359">
        <f t="shared" ca="1" si="143"/>
        <v>50.668074548552106</v>
      </c>
      <c r="AH284" s="357">
        <f t="shared" ca="1" si="144"/>
        <v>60.219647697247069</v>
      </c>
    </row>
    <row r="285" spans="1:34" x14ac:dyDescent="0.25">
      <c r="A285" s="402">
        <f t="shared" ca="1" si="122"/>
        <v>0.01</v>
      </c>
      <c r="B285" s="357">
        <f t="shared" ca="1" si="123"/>
        <v>2.8099999999999841</v>
      </c>
      <c r="C285" s="342"/>
      <c r="D285" s="359">
        <f t="shared" ca="1" si="124"/>
        <v>13.690640342776529</v>
      </c>
      <c r="E285" s="360">
        <f t="shared" ca="1" si="125"/>
        <v>48.619118952940369</v>
      </c>
      <c r="F285" s="357">
        <f t="shared" ca="1" si="126"/>
        <v>50.509923388928492</v>
      </c>
      <c r="G285" s="359">
        <f t="shared" ca="1" si="127"/>
        <v>43.492387509289088</v>
      </c>
      <c r="H285" s="360">
        <f t="shared" ca="1" si="128"/>
        <v>185.51935979021582</v>
      </c>
      <c r="I285" s="357">
        <f t="shared" ca="1" si="129"/>
        <v>190.5492603717729</v>
      </c>
      <c r="J285" s="359">
        <f t="shared" ca="1" si="130"/>
        <v>60.290608597301457</v>
      </c>
      <c r="K285" s="360">
        <f t="shared" ca="1" si="131"/>
        <v>275.337210399041</v>
      </c>
      <c r="L285" s="357">
        <f t="shared" ca="1" si="116"/>
        <v>281.86084672291531</v>
      </c>
      <c r="M285" s="359">
        <f t="shared" ca="1" si="132"/>
        <v>1.3405190654499137</v>
      </c>
      <c r="N285" s="357">
        <f t="shared" ca="1" si="133"/>
        <v>76.806084807101428</v>
      </c>
      <c r="O285" s="343"/>
      <c r="P285" s="363">
        <f t="shared" ca="1" si="134"/>
        <v>9</v>
      </c>
      <c r="Q285" s="357">
        <f t="shared" ca="1" si="135"/>
        <v>768.6250000000033</v>
      </c>
      <c r="R285" s="359">
        <f t="shared" ca="1" si="136"/>
        <v>0.38502905901894208</v>
      </c>
      <c r="S285" s="360">
        <f t="shared" ca="1" si="137"/>
        <v>11.169858065403888</v>
      </c>
      <c r="T285" s="357">
        <f t="shared" ca="1" si="117"/>
        <v>109.57630762161214</v>
      </c>
      <c r="U285" s="364">
        <f t="shared" ca="1" si="118"/>
        <v>0</v>
      </c>
      <c r="V285" s="359">
        <f t="shared" ca="1" si="119"/>
        <v>1.1917292258334593</v>
      </c>
      <c r="W285" s="357">
        <f t="shared" ca="1" si="120"/>
        <v>98.808036127217704</v>
      </c>
      <c r="X285" s="343"/>
      <c r="Y285" s="367" t="str">
        <f t="shared" ca="1" si="138"/>
        <v/>
      </c>
      <c r="Z285" s="368" t="str">
        <f t="shared" ca="1" si="139"/>
        <v/>
      </c>
      <c r="AA285" s="369" t="str">
        <f t="shared" ca="1" si="140"/>
        <v/>
      </c>
      <c r="AB285" s="344"/>
      <c r="AC285" s="363" t="e">
        <f t="shared" ca="1" si="141"/>
        <v>#N/A</v>
      </c>
      <c r="AD285" s="376" t="e">
        <f t="shared" ca="1" si="142"/>
        <v>#N/A</v>
      </c>
      <c r="AE285" s="377">
        <f t="shared" ca="1" si="121"/>
        <v>275.337210399041</v>
      </c>
      <c r="AF285" s="344"/>
      <c r="AG285" s="359">
        <f t="shared" ca="1" si="143"/>
        <v>50.460318861897917</v>
      </c>
      <c r="AH285" s="357">
        <f t="shared" ca="1" si="144"/>
        <v>60.011628661552884</v>
      </c>
    </row>
    <row r="286" spans="1:34" x14ac:dyDescent="0.25">
      <c r="A286" s="402">
        <f t="shared" ca="1" si="122"/>
        <v>0.01</v>
      </c>
      <c r="B286" s="357">
        <f t="shared" ca="1" si="123"/>
        <v>2.8199999999999839</v>
      </c>
      <c r="C286" s="342"/>
      <c r="D286" s="359">
        <f t="shared" ca="1" si="124"/>
        <v>13.649997937917854</v>
      </c>
      <c r="E286" s="360">
        <f t="shared" ca="1" si="125"/>
        <v>48.41487620481702</v>
      </c>
      <c r="F286" s="357">
        <f t="shared" ca="1" si="126"/>
        <v>50.302312885521665</v>
      </c>
      <c r="G286" s="359">
        <f t="shared" ca="1" si="127"/>
        <v>43.628887488668269</v>
      </c>
      <c r="H286" s="360">
        <f t="shared" ca="1" si="128"/>
        <v>186.00350855226398</v>
      </c>
      <c r="I286" s="357">
        <f t="shared" ca="1" si="129"/>
        <v>191.05178621842563</v>
      </c>
      <c r="J286" s="359">
        <f t="shared" ca="1" si="130"/>
        <v>60.726214972291245</v>
      </c>
      <c r="K286" s="360">
        <f t="shared" ca="1" si="131"/>
        <v>277.1948247407534</v>
      </c>
      <c r="L286" s="357">
        <f t="shared" ca="1" si="116"/>
        <v>283.76864528682154</v>
      </c>
      <c r="M286" s="359">
        <f t="shared" ca="1" si="132"/>
        <v>1.3404018664549469</v>
      </c>
      <c r="N286" s="357">
        <f t="shared" ca="1" si="133"/>
        <v>76.799369799326655</v>
      </c>
      <c r="O286" s="343"/>
      <c r="P286" s="363">
        <f t="shared" ca="1" si="134"/>
        <v>9</v>
      </c>
      <c r="Q286" s="357">
        <f t="shared" ca="1" si="135"/>
        <v>766.57500000000334</v>
      </c>
      <c r="R286" s="359">
        <f t="shared" ca="1" si="136"/>
        <v>0.38400214788413795</v>
      </c>
      <c r="S286" s="360">
        <f t="shared" ca="1" si="137"/>
        <v>11.166018043925046</v>
      </c>
      <c r="T286" s="357">
        <f t="shared" ca="1" si="117"/>
        <v>109.53863701090471</v>
      </c>
      <c r="U286" s="364">
        <f t="shared" ca="1" si="118"/>
        <v>0</v>
      </c>
      <c r="V286" s="359">
        <f t="shared" ca="1" si="119"/>
        <v>1.1915078268229577</v>
      </c>
      <c r="W286" s="357">
        <f t="shared" ca="1" si="120"/>
        <v>99.311432665325128</v>
      </c>
      <c r="X286" s="343"/>
      <c r="Y286" s="367" t="str">
        <f t="shared" ca="1" si="138"/>
        <v/>
      </c>
      <c r="Z286" s="368" t="str">
        <f t="shared" ca="1" si="139"/>
        <v/>
      </c>
      <c r="AA286" s="369" t="str">
        <f t="shared" ca="1" si="140"/>
        <v/>
      </c>
      <c r="AB286" s="344"/>
      <c r="AC286" s="363" t="e">
        <f t="shared" ca="1" si="141"/>
        <v>#N/A</v>
      </c>
      <c r="AD286" s="376" t="e">
        <f t="shared" ca="1" si="142"/>
        <v>#N/A</v>
      </c>
      <c r="AE286" s="377">
        <f t="shared" ca="1" si="121"/>
        <v>277.1948247407534</v>
      </c>
      <c r="AF286" s="344"/>
      <c r="AG286" s="359">
        <f t="shared" ca="1" si="143"/>
        <v>50.252453454684769</v>
      </c>
      <c r="AH286" s="357">
        <f t="shared" ca="1" si="144"/>
        <v>59.803500338788105</v>
      </c>
    </row>
    <row r="287" spans="1:34" x14ac:dyDescent="0.25">
      <c r="A287" s="402">
        <f t="shared" ca="1" si="122"/>
        <v>0.01</v>
      </c>
      <c r="B287" s="357">
        <f t="shared" ca="1" si="123"/>
        <v>2.8299999999999836</v>
      </c>
      <c r="C287" s="342"/>
      <c r="D287" s="359">
        <f t="shared" ca="1" si="124"/>
        <v>13.609268751977103</v>
      </c>
      <c r="E287" s="360">
        <f t="shared" ca="1" si="125"/>
        <v>48.210542865226749</v>
      </c>
      <c r="F287" s="357">
        <f t="shared" ca="1" si="126"/>
        <v>50.094596907485005</v>
      </c>
      <c r="G287" s="359">
        <f t="shared" ca="1" si="127"/>
        <v>43.76498017618804</v>
      </c>
      <c r="H287" s="360">
        <f t="shared" ca="1" si="128"/>
        <v>186.48561398091624</v>
      </c>
      <c r="I287" s="357">
        <f t="shared" ca="1" si="129"/>
        <v>191.55223233275419</v>
      </c>
      <c r="J287" s="359">
        <f t="shared" ca="1" si="130"/>
        <v>61.163184310615527</v>
      </c>
      <c r="K287" s="360">
        <f t="shared" ca="1" si="131"/>
        <v>279.05727035341931</v>
      </c>
      <c r="L287" s="357">
        <f t="shared" ca="1" si="116"/>
        <v>285.68145766240355</v>
      </c>
      <c r="M287" s="359">
        <f t="shared" ca="1" si="132"/>
        <v>1.3402849152159266</v>
      </c>
      <c r="N287" s="357">
        <f t="shared" ca="1" si="133"/>
        <v>76.792668986921967</v>
      </c>
      <c r="O287" s="343"/>
      <c r="P287" s="363">
        <f t="shared" ca="1" si="134"/>
        <v>9</v>
      </c>
      <c r="Q287" s="357">
        <f t="shared" ca="1" si="135"/>
        <v>764.52500000000339</v>
      </c>
      <c r="R287" s="359">
        <f t="shared" ca="1" si="136"/>
        <v>0.38297523674933381</v>
      </c>
      <c r="S287" s="360">
        <f t="shared" ca="1" si="137"/>
        <v>11.162188291557552</v>
      </c>
      <c r="T287" s="357">
        <f t="shared" ca="1" si="117"/>
        <v>109.50106714017959</v>
      </c>
      <c r="U287" s="364">
        <f t="shared" ca="1" si="118"/>
        <v>0</v>
      </c>
      <c r="V287" s="359">
        <f t="shared" ca="1" si="119"/>
        <v>1.1912858927192149</v>
      </c>
      <c r="W287" s="357">
        <f t="shared" ca="1" si="120"/>
        <v>99.813796975588616</v>
      </c>
      <c r="X287" s="343"/>
      <c r="Y287" s="367" t="str">
        <f t="shared" ca="1" si="138"/>
        <v/>
      </c>
      <c r="Z287" s="368" t="str">
        <f t="shared" ca="1" si="139"/>
        <v/>
      </c>
      <c r="AA287" s="369" t="str">
        <f t="shared" ca="1" si="140"/>
        <v/>
      </c>
      <c r="AB287" s="344"/>
      <c r="AC287" s="363" t="e">
        <f t="shared" ca="1" si="141"/>
        <v>#N/A</v>
      </c>
      <c r="AD287" s="376" t="e">
        <f t="shared" ca="1" si="142"/>
        <v>#N/A</v>
      </c>
      <c r="AE287" s="377">
        <f t="shared" ca="1" si="121"/>
        <v>279.05727035341931</v>
      </c>
      <c r="AF287" s="344"/>
      <c r="AG287" s="359">
        <f t="shared" ca="1" si="143"/>
        <v>50.044480434187378</v>
      </c>
      <c r="AH287" s="357">
        <f t="shared" ca="1" si="144"/>
        <v>59.59526483152127</v>
      </c>
    </row>
    <row r="288" spans="1:34" x14ac:dyDescent="0.25">
      <c r="A288" s="402">
        <f t="shared" ca="1" si="122"/>
        <v>0.01</v>
      </c>
      <c r="B288" s="357">
        <f t="shared" ca="1" si="123"/>
        <v>2.8399999999999834</v>
      </c>
      <c r="C288" s="342"/>
      <c r="D288" s="359">
        <f t="shared" ca="1" si="124"/>
        <v>13.57569530280106</v>
      </c>
      <c r="E288" s="360">
        <f t="shared" ca="1" si="125"/>
        <v>48.036978647511084</v>
      </c>
      <c r="F288" s="357">
        <f t="shared" ca="1" si="126"/>
        <v>49.918441687776379</v>
      </c>
      <c r="G288" s="359">
        <f t="shared" ca="1" si="127"/>
        <v>43.900737129216047</v>
      </c>
      <c r="H288" s="360">
        <f t="shared" ca="1" si="128"/>
        <v>186.96598376739135</v>
      </c>
      <c r="I288" s="357">
        <f t="shared" ca="1" si="129"/>
        <v>192.0509146205687</v>
      </c>
      <c r="J288" s="359">
        <f t="shared" ca="1" si="130"/>
        <v>61.601512897142548</v>
      </c>
      <c r="K288" s="360">
        <f t="shared" ca="1" si="131"/>
        <v>280.92452834216084</v>
      </c>
      <c r="L288" s="357">
        <f t="shared" ca="1" si="116"/>
        <v>287.59926462959248</v>
      </c>
      <c r="M288" s="359">
        <f t="shared" ca="1" si="132"/>
        <v>1.3401682094946343</v>
      </c>
      <c r="N288" s="357">
        <f t="shared" ca="1" si="133"/>
        <v>76.785982241646892</v>
      </c>
      <c r="O288" s="343"/>
      <c r="P288" s="363">
        <f t="shared" ca="1" si="134"/>
        <v>10</v>
      </c>
      <c r="Q288" s="357">
        <f t="shared" ca="1" si="135"/>
        <v>762.8285714285737</v>
      </c>
      <c r="R288" s="359">
        <f t="shared" ca="1" si="136"/>
        <v>0.38212544094962603</v>
      </c>
      <c r="S288" s="360">
        <f t="shared" ca="1" si="137"/>
        <v>11.158367037148055</v>
      </c>
      <c r="T288" s="357">
        <f t="shared" ca="1" si="117"/>
        <v>109.46358063442243</v>
      </c>
      <c r="U288" s="364">
        <f t="shared" ca="1" si="118"/>
        <v>0</v>
      </c>
      <c r="V288" s="359">
        <f t="shared" ca="1" si="119"/>
        <v>1.1910634260791977</v>
      </c>
      <c r="W288" s="357">
        <f t="shared" ca="1" si="120"/>
        <v>100.31544204932624</v>
      </c>
      <c r="X288" s="343"/>
      <c r="Y288" s="367" t="str">
        <f t="shared" ca="1" si="138"/>
        <v/>
      </c>
      <c r="Z288" s="368" t="str">
        <f t="shared" ca="1" si="139"/>
        <v/>
      </c>
      <c r="AA288" s="369" t="str">
        <f t="shared" ca="1" si="140"/>
        <v/>
      </c>
      <c r="AB288" s="344"/>
      <c r="AC288" s="363" t="e">
        <f t="shared" ca="1" si="141"/>
        <v>#N/A</v>
      </c>
      <c r="AD288" s="376" t="e">
        <f t="shared" ca="1" si="142"/>
        <v>#N/A</v>
      </c>
      <c r="AE288" s="377">
        <f t="shared" ca="1" si="121"/>
        <v>280.92452834216084</v>
      </c>
      <c r="AF288" s="344"/>
      <c r="AG288" s="359">
        <f t="shared" ca="1" si="143"/>
        <v>49.86809799261701</v>
      </c>
      <c r="AH288" s="357">
        <f t="shared" ca="1" si="144"/>
        <v>59.418620327302271</v>
      </c>
    </row>
    <row r="289" spans="1:34" x14ac:dyDescent="0.25">
      <c r="A289" s="402">
        <f t="shared" ca="1" si="122"/>
        <v>0.01</v>
      </c>
      <c r="B289" s="357">
        <f t="shared" ca="1" si="123"/>
        <v>2.8499999999999832</v>
      </c>
      <c r="C289" s="342"/>
      <c r="D289" s="359">
        <f t="shared" ca="1" si="124"/>
        <v>13.549291892034416</v>
      </c>
      <c r="E289" s="360">
        <f t="shared" ca="1" si="125"/>
        <v>47.894194817719018</v>
      </c>
      <c r="F289" s="357">
        <f t="shared" ca="1" si="126"/>
        <v>49.773860690257621</v>
      </c>
      <c r="G289" s="359">
        <f t="shared" ca="1" si="127"/>
        <v>44.036230048136389</v>
      </c>
      <c r="H289" s="360">
        <f t="shared" ca="1" si="128"/>
        <v>187.44492571556853</v>
      </c>
      <c r="I289" s="357">
        <f t="shared" ca="1" si="129"/>
        <v>192.54814912994462</v>
      </c>
      <c r="J289" s="359">
        <f t="shared" ca="1" si="130"/>
        <v>62.041197733029307</v>
      </c>
      <c r="K289" s="360">
        <f t="shared" ca="1" si="131"/>
        <v>282.79658288957563</v>
      </c>
      <c r="L289" s="357">
        <f t="shared" ca="1" si="116"/>
        <v>289.52205012773976</v>
      </c>
      <c r="M289" s="359">
        <f t="shared" ca="1" si="132"/>
        <v>1.3400517472670299</v>
      </c>
      <c r="N289" s="357">
        <f t="shared" ca="1" si="133"/>
        <v>76.779309447532469</v>
      </c>
      <c r="O289" s="343"/>
      <c r="P289" s="363">
        <f t="shared" ca="1" si="134"/>
        <v>10</v>
      </c>
      <c r="Q289" s="357">
        <f t="shared" ca="1" si="135"/>
        <v>761.48571428571654</v>
      </c>
      <c r="R289" s="359">
        <f t="shared" ca="1" si="136"/>
        <v>0.38145276048501564</v>
      </c>
      <c r="S289" s="360">
        <f t="shared" ca="1" si="137"/>
        <v>11.154552509543205</v>
      </c>
      <c r="T289" s="357">
        <f t="shared" ca="1" si="117"/>
        <v>109.42616011861884</v>
      </c>
      <c r="U289" s="364">
        <f t="shared" ca="1" si="118"/>
        <v>0</v>
      </c>
      <c r="V289" s="359">
        <f t="shared" ca="1" si="119"/>
        <v>1.1908404290923105</v>
      </c>
      <c r="W289" s="357">
        <f t="shared" ca="1" si="120"/>
        <v>100.81668425233273</v>
      </c>
      <c r="X289" s="343"/>
      <c r="Y289" s="367" t="str">
        <f t="shared" ca="1" si="138"/>
        <v/>
      </c>
      <c r="Z289" s="368" t="str">
        <f t="shared" ca="1" si="139"/>
        <v/>
      </c>
      <c r="AA289" s="369" t="str">
        <f t="shared" ca="1" si="140"/>
        <v/>
      </c>
      <c r="AB289" s="344"/>
      <c r="AC289" s="363" t="e">
        <f t="shared" ca="1" si="141"/>
        <v>#N/A</v>
      </c>
      <c r="AD289" s="376" t="e">
        <f t="shared" ca="1" si="142"/>
        <v>#N/A</v>
      </c>
      <c r="AE289" s="377">
        <f t="shared" ca="1" si="121"/>
        <v>282.79658288957563</v>
      </c>
      <c r="AF289" s="344"/>
      <c r="AG289" s="359">
        <f t="shared" ca="1" si="143"/>
        <v>49.723320356727996</v>
      </c>
      <c r="AH289" s="357">
        <f t="shared" ca="1" si="144"/>
        <v>59.273581048700102</v>
      </c>
    </row>
    <row r="290" spans="1:34" x14ac:dyDescent="0.25">
      <c r="A290" s="402">
        <f t="shared" ca="1" si="122"/>
        <v>0.01</v>
      </c>
      <c r="B290" s="357">
        <f t="shared" ca="1" si="123"/>
        <v>2.859999999999983</v>
      </c>
      <c r="C290" s="342"/>
      <c r="D290" s="359">
        <f t="shared" ca="1" si="124"/>
        <v>13.522818733866826</v>
      </c>
      <c r="E290" s="360">
        <f t="shared" ca="1" si="125"/>
        <v>47.751325078553975</v>
      </c>
      <c r="F290" s="357">
        <f t="shared" ca="1" si="126"/>
        <v>49.629181670331391</v>
      </c>
      <c r="G290" s="359">
        <f t="shared" ca="1" si="127"/>
        <v>44.171458235475058</v>
      </c>
      <c r="H290" s="360">
        <f t="shared" ca="1" si="128"/>
        <v>187.92243896635406</v>
      </c>
      <c r="I290" s="357">
        <f t="shared" ca="1" si="129"/>
        <v>193.04393486901211</v>
      </c>
      <c r="J290" s="359">
        <f t="shared" ca="1" si="130"/>
        <v>62.482236174447365</v>
      </c>
      <c r="K290" s="360">
        <f t="shared" ca="1" si="131"/>
        <v>284.67341971298526</v>
      </c>
      <c r="L290" s="357">
        <f t="shared" ca="1" si="116"/>
        <v>291.44979967130683</v>
      </c>
      <c r="M290" s="359">
        <f t="shared" ca="1" si="132"/>
        <v>1.3399355265285848</v>
      </c>
      <c r="N290" s="357">
        <f t="shared" ca="1" si="133"/>
        <v>76.772650489727667</v>
      </c>
      <c r="O290" s="343"/>
      <c r="P290" s="363">
        <f t="shared" ca="1" si="134"/>
        <v>10</v>
      </c>
      <c r="Q290" s="357">
        <f t="shared" ca="1" si="135"/>
        <v>760.14285714285938</v>
      </c>
      <c r="R290" s="359">
        <f t="shared" ca="1" si="136"/>
        <v>0.38078008002040525</v>
      </c>
      <c r="S290" s="360">
        <f t="shared" ca="1" si="137"/>
        <v>11.150744708743</v>
      </c>
      <c r="T290" s="357">
        <f t="shared" ca="1" si="117"/>
        <v>109.38880559276883</v>
      </c>
      <c r="U290" s="364">
        <f t="shared" ca="1" si="118"/>
        <v>0</v>
      </c>
      <c r="V290" s="359">
        <f t="shared" ca="1" si="119"/>
        <v>1.1906169037644443</v>
      </c>
      <c r="W290" s="357">
        <f t="shared" ca="1" si="120"/>
        <v>101.3175103680735</v>
      </c>
      <c r="X290" s="343"/>
      <c r="Y290" s="367" t="str">
        <f t="shared" ca="1" si="138"/>
        <v/>
      </c>
      <c r="Z290" s="368" t="str">
        <f t="shared" ca="1" si="139"/>
        <v/>
      </c>
      <c r="AA290" s="369" t="str">
        <f t="shared" ca="1" si="140"/>
        <v/>
      </c>
      <c r="AB290" s="344"/>
      <c r="AC290" s="363" t="e">
        <f t="shared" ca="1" si="141"/>
        <v>#N/A</v>
      </c>
      <c r="AD290" s="376" t="e">
        <f t="shared" ca="1" si="142"/>
        <v>#N/A</v>
      </c>
      <c r="AE290" s="377">
        <f t="shared" ca="1" si="121"/>
        <v>284.67341971298526</v>
      </c>
      <c r="AF290" s="344"/>
      <c r="AG290" s="359">
        <f t="shared" ca="1" si="143"/>
        <v>49.578443532016863</v>
      </c>
      <c r="AH290" s="357">
        <f t="shared" ca="1" si="144"/>
        <v>59.128442997494751</v>
      </c>
    </row>
    <row r="291" spans="1:34" x14ac:dyDescent="0.25">
      <c r="A291" s="402">
        <f t="shared" ca="1" si="122"/>
        <v>0.01</v>
      </c>
      <c r="B291" s="357">
        <f t="shared" ca="1" si="123"/>
        <v>2.8699999999999828</v>
      </c>
      <c r="C291" s="342"/>
      <c r="D291" s="359">
        <f t="shared" ca="1" si="124"/>
        <v>13.496276323682624</v>
      </c>
      <c r="E291" s="360">
        <f t="shared" ca="1" si="125"/>
        <v>47.608370708743713</v>
      </c>
      <c r="F291" s="357">
        <f t="shared" ca="1" si="126"/>
        <v>49.484405989628314</v>
      </c>
      <c r="G291" s="359">
        <f t="shared" ca="1" si="127"/>
        <v>44.306420998711886</v>
      </c>
      <c r="H291" s="360">
        <f t="shared" ca="1" si="128"/>
        <v>188.39852267344151</v>
      </c>
      <c r="I291" s="357">
        <f t="shared" ca="1" si="129"/>
        <v>193.53827085941001</v>
      </c>
      <c r="J291" s="359">
        <f t="shared" ca="1" si="130"/>
        <v>62.924625570618304</v>
      </c>
      <c r="K291" s="360">
        <f t="shared" ca="1" si="131"/>
        <v>286.55502452118424</v>
      </c>
      <c r="L291" s="357">
        <f t="shared" ca="1" si="116"/>
        <v>293.3824987649042</v>
      </c>
      <c r="M291" s="359">
        <f t="shared" ca="1" si="132"/>
        <v>1.3398195452940138</v>
      </c>
      <c r="N291" s="357">
        <f t="shared" ca="1" si="133"/>
        <v>76.766005254484028</v>
      </c>
      <c r="O291" s="343"/>
      <c r="P291" s="363">
        <f t="shared" ca="1" si="134"/>
        <v>10</v>
      </c>
      <c r="Q291" s="357">
        <f t="shared" ca="1" si="135"/>
        <v>758.80000000000234</v>
      </c>
      <c r="R291" s="359">
        <f t="shared" ca="1" si="136"/>
        <v>0.38010739955579492</v>
      </c>
      <c r="S291" s="360">
        <f t="shared" ca="1" si="137"/>
        <v>11.146943634747442</v>
      </c>
      <c r="T291" s="357">
        <f t="shared" ca="1" si="117"/>
        <v>109.35151705687241</v>
      </c>
      <c r="U291" s="364">
        <f t="shared" ca="1" si="118"/>
        <v>0</v>
      </c>
      <c r="V291" s="359">
        <f t="shared" ca="1" si="119"/>
        <v>1.1903928521018825</v>
      </c>
      <c r="W291" s="357">
        <f t="shared" ca="1" si="120"/>
        <v>101.81790723134604</v>
      </c>
      <c r="X291" s="343"/>
      <c r="Y291" s="367" t="str">
        <f t="shared" ca="1" si="138"/>
        <v/>
      </c>
      <c r="Z291" s="368" t="str">
        <f t="shared" ca="1" si="139"/>
        <v/>
      </c>
      <c r="AA291" s="369" t="str">
        <f t="shared" ca="1" si="140"/>
        <v/>
      </c>
      <c r="AB291" s="344"/>
      <c r="AC291" s="363" t="e">
        <f t="shared" ca="1" si="141"/>
        <v>#N/A</v>
      </c>
      <c r="AD291" s="376" t="e">
        <f t="shared" ca="1" si="142"/>
        <v>#N/A</v>
      </c>
      <c r="AE291" s="377">
        <f t="shared" ca="1" si="121"/>
        <v>286.55502452118424</v>
      </c>
      <c r="AF291" s="344"/>
      <c r="AG291" s="359">
        <f t="shared" ca="1" si="143"/>
        <v>49.43346886936704</v>
      </c>
      <c r="AH291" s="357">
        <f t="shared" ca="1" si="144"/>
        <v>58.983207520886104</v>
      </c>
    </row>
    <row r="292" spans="1:34" x14ac:dyDescent="0.25">
      <c r="A292" s="402">
        <f t="shared" ca="1" si="122"/>
        <v>0.01</v>
      </c>
      <c r="B292" s="357">
        <f t="shared" ca="1" si="123"/>
        <v>2.8799999999999826</v>
      </c>
      <c r="C292" s="342"/>
      <c r="D292" s="359">
        <f t="shared" ca="1" si="124"/>
        <v>13.469665154803506</v>
      </c>
      <c r="E292" s="360">
        <f t="shared" ca="1" si="125"/>
        <v>47.465332984911825</v>
      </c>
      <c r="F292" s="357">
        <f t="shared" ca="1" si="126"/>
        <v>49.339535007446983</v>
      </c>
      <c r="G292" s="359">
        <f t="shared" ca="1" si="127"/>
        <v>44.441117650259919</v>
      </c>
      <c r="H292" s="360">
        <f t="shared" ca="1" si="128"/>
        <v>188.87317600329061</v>
      </c>
      <c r="I292" s="357">
        <f t="shared" ca="1" si="129"/>
        <v>194.03115613626136</v>
      </c>
      <c r="J292" s="359">
        <f t="shared" ca="1" si="130"/>
        <v>63.368363263863159</v>
      </c>
      <c r="K292" s="360">
        <f t="shared" ca="1" si="131"/>
        <v>288.44138301456792</v>
      </c>
      <c r="L292" s="357">
        <f t="shared" ca="1" si="116"/>
        <v>295.32013290342667</v>
      </c>
      <c r="M292" s="359">
        <f t="shared" ca="1" si="132"/>
        <v>1.3397038015970126</v>
      </c>
      <c r="N292" s="357">
        <f t="shared" ca="1" si="133"/>
        <v>76.759373629140626</v>
      </c>
      <c r="O292" s="343"/>
      <c r="P292" s="363">
        <f t="shared" ca="1" si="134"/>
        <v>10</v>
      </c>
      <c r="Q292" s="357">
        <f t="shared" ca="1" si="135"/>
        <v>757.45714285714519</v>
      </c>
      <c r="R292" s="359">
        <f t="shared" ca="1" si="136"/>
        <v>0.37943471909118454</v>
      </c>
      <c r="S292" s="360">
        <f t="shared" ca="1" si="137"/>
        <v>11.143149287556531</v>
      </c>
      <c r="T292" s="357">
        <f t="shared" ca="1" si="117"/>
        <v>109.31429451092957</v>
      </c>
      <c r="U292" s="364">
        <f t="shared" ca="1" si="118"/>
        <v>0</v>
      </c>
      <c r="V292" s="359">
        <f t="shared" ca="1" si="119"/>
        <v>1.1901682761112777</v>
      </c>
      <c r="W292" s="357">
        <f t="shared" ca="1" si="120"/>
        <v>102.3178617285303</v>
      </c>
      <c r="X292" s="343"/>
      <c r="Y292" s="367" t="str">
        <f t="shared" ca="1" si="138"/>
        <v/>
      </c>
      <c r="Z292" s="368" t="str">
        <f t="shared" ca="1" si="139"/>
        <v/>
      </c>
      <c r="AA292" s="369" t="str">
        <f t="shared" ca="1" si="140"/>
        <v/>
      </c>
      <c r="AB292" s="344"/>
      <c r="AC292" s="363" t="e">
        <f t="shared" ca="1" si="141"/>
        <v>#N/A</v>
      </c>
      <c r="AD292" s="376" t="e">
        <f t="shared" ca="1" si="142"/>
        <v>#N/A</v>
      </c>
      <c r="AE292" s="377">
        <f t="shared" ca="1" si="121"/>
        <v>288.44138301456792</v>
      </c>
      <c r="AF292" s="344"/>
      <c r="AG292" s="359">
        <f t="shared" ca="1" si="143"/>
        <v>49.288397717215439</v>
      </c>
      <c r="AH292" s="357">
        <f t="shared" ca="1" si="144"/>
        <v>58.837875963660153</v>
      </c>
    </row>
    <row r="293" spans="1:34" x14ac:dyDescent="0.25">
      <c r="A293" s="402">
        <f t="shared" ca="1" si="122"/>
        <v>0.01</v>
      </c>
      <c r="B293" s="357">
        <f t="shared" ca="1" si="123"/>
        <v>2.8899999999999824</v>
      </c>
      <c r="C293" s="342"/>
      <c r="D293" s="359">
        <f t="shared" ca="1" si="124"/>
        <v>13.442985718503085</v>
      </c>
      <c r="E293" s="360">
        <f t="shared" ca="1" si="125"/>
        <v>47.322213181540093</v>
      </c>
      <c r="F293" s="357">
        <f t="shared" ca="1" si="126"/>
        <v>49.194570080721356</v>
      </c>
      <c r="G293" s="359">
        <f t="shared" ca="1" si="127"/>
        <v>44.575547507444952</v>
      </c>
      <c r="H293" s="360">
        <f t="shared" ca="1" si="128"/>
        <v>189.346398135106</v>
      </c>
      <c r="I293" s="357">
        <f t="shared" ca="1" si="129"/>
        <v>194.52258974814868</v>
      </c>
      <c r="J293" s="359">
        <f t="shared" ca="1" si="130"/>
        <v>63.813446589651683</v>
      </c>
      <c r="K293" s="360">
        <f t="shared" ca="1" si="131"/>
        <v>290.33248088525988</v>
      </c>
      <c r="L293" s="357">
        <f t="shared" ca="1" si="116"/>
        <v>297.26268757218776</v>
      </c>
      <c r="M293" s="359">
        <f t="shared" ca="1" si="132"/>
        <v>1.3395882934899994</v>
      </c>
      <c r="N293" s="357">
        <f t="shared" ca="1" si="133"/>
        <v>76.752755502109224</v>
      </c>
      <c r="O293" s="343"/>
      <c r="P293" s="363">
        <f t="shared" ca="1" si="134"/>
        <v>10</v>
      </c>
      <c r="Q293" s="357">
        <f t="shared" ca="1" si="135"/>
        <v>756.11428571428803</v>
      </c>
      <c r="R293" s="359">
        <f t="shared" ca="1" si="136"/>
        <v>0.37876203862657415</v>
      </c>
      <c r="S293" s="360">
        <f t="shared" ca="1" si="137"/>
        <v>11.139361667170265</v>
      </c>
      <c r="T293" s="357">
        <f t="shared" ca="1" si="117"/>
        <v>109.2771379549403</v>
      </c>
      <c r="U293" s="364">
        <f t="shared" ca="1" si="118"/>
        <v>0</v>
      </c>
      <c r="V293" s="359">
        <f t="shared" ca="1" si="119"/>
        <v>1.1899431777996252</v>
      </c>
      <c r="W293" s="357">
        <f t="shared" ca="1" si="120"/>
        <v>102.81736079783508</v>
      </c>
      <c r="X293" s="343"/>
      <c r="Y293" s="367" t="str">
        <f t="shared" ca="1" si="138"/>
        <v/>
      </c>
      <c r="Z293" s="368" t="str">
        <f t="shared" ca="1" si="139"/>
        <v/>
      </c>
      <c r="AA293" s="369" t="str">
        <f t="shared" ca="1" si="140"/>
        <v/>
      </c>
      <c r="AB293" s="344"/>
      <c r="AC293" s="363" t="e">
        <f t="shared" ca="1" si="141"/>
        <v>#N/A</v>
      </c>
      <c r="AD293" s="376" t="e">
        <f t="shared" ca="1" si="142"/>
        <v>#N/A</v>
      </c>
      <c r="AE293" s="377">
        <f t="shared" ca="1" si="121"/>
        <v>290.33248088525988</v>
      </c>
      <c r="AF293" s="344"/>
      <c r="AG293" s="359">
        <f t="shared" ca="1" si="143"/>
        <v>49.143231421518188</v>
      </c>
      <c r="AH293" s="357">
        <f t="shared" ca="1" si="144"/>
        <v>58.692449668154268</v>
      </c>
    </row>
    <row r="294" spans="1:34" x14ac:dyDescent="0.25">
      <c r="A294" s="402">
        <f t="shared" ca="1" si="122"/>
        <v>0.01</v>
      </c>
      <c r="B294" s="357">
        <f t="shared" ca="1" si="123"/>
        <v>2.8999999999999821</v>
      </c>
      <c r="C294" s="342"/>
      <c r="D294" s="359">
        <f t="shared" ca="1" si="124"/>
        <v>13.416238504021136</v>
      </c>
      <c r="E294" s="360">
        <f t="shared" ca="1" si="125"/>
        <v>47.179012570931306</v>
      </c>
      <c r="F294" s="357">
        <f t="shared" ca="1" si="126"/>
        <v>49.049512563988579</v>
      </c>
      <c r="G294" s="359">
        <f t="shared" ca="1" si="127"/>
        <v>44.709709892485165</v>
      </c>
      <c r="H294" s="360">
        <f t="shared" ca="1" si="128"/>
        <v>189.8181882608153</v>
      </c>
      <c r="I294" s="357">
        <f t="shared" ca="1" si="129"/>
        <v>195.01257075708864</v>
      </c>
      <c r="J294" s="359">
        <f t="shared" ca="1" si="130"/>
        <v>64.259872876651329</v>
      </c>
      <c r="K294" s="360">
        <f t="shared" ca="1" si="131"/>
        <v>292.22830381723946</v>
      </c>
      <c r="L294" s="357">
        <f t="shared" ca="1" si="116"/>
        <v>299.21014824705429</v>
      </c>
      <c r="M294" s="359">
        <f t="shared" ca="1" si="132"/>
        <v>1.3394730190438597</v>
      </c>
      <c r="N294" s="357">
        <f t="shared" ca="1" si="133"/>
        <v>76.746150762859713</v>
      </c>
      <c r="O294" s="343"/>
      <c r="P294" s="363">
        <f t="shared" ca="1" si="134"/>
        <v>10</v>
      </c>
      <c r="Q294" s="357">
        <f t="shared" ca="1" si="135"/>
        <v>754.77142857143099</v>
      </c>
      <c r="R294" s="359">
        <f t="shared" ca="1" si="136"/>
        <v>0.37808935816196387</v>
      </c>
      <c r="S294" s="360">
        <f t="shared" ca="1" si="137"/>
        <v>11.135580773588645</v>
      </c>
      <c r="T294" s="357">
        <f t="shared" ca="1" si="117"/>
        <v>109.24004738890461</v>
      </c>
      <c r="U294" s="364">
        <f t="shared" ca="1" si="118"/>
        <v>0</v>
      </c>
      <c r="V294" s="359">
        <f t="shared" ca="1" si="119"/>
        <v>1.1897175591742406</v>
      </c>
      <c r="W294" s="357">
        <f t="shared" ca="1" si="120"/>
        <v>103.31639142954141</v>
      </c>
      <c r="X294" s="343"/>
      <c r="Y294" s="367" t="str">
        <f t="shared" ca="1" si="138"/>
        <v/>
      </c>
      <c r="Z294" s="368" t="str">
        <f t="shared" ca="1" si="139"/>
        <v/>
      </c>
      <c r="AA294" s="369" t="str">
        <f t="shared" ca="1" si="140"/>
        <v/>
      </c>
      <c r="AB294" s="344"/>
      <c r="AC294" s="363" t="e">
        <f t="shared" ca="1" si="141"/>
        <v>#N/A</v>
      </c>
      <c r="AD294" s="376" t="e">
        <f t="shared" ca="1" si="142"/>
        <v>#N/A</v>
      </c>
      <c r="AE294" s="377">
        <f t="shared" ca="1" si="121"/>
        <v>292.22830381723946</v>
      </c>
      <c r="AF294" s="344"/>
      <c r="AG294" s="359">
        <f t="shared" ca="1" si="143"/>
        <v>48.997971325716669</v>
      </c>
      <c r="AH294" s="357">
        <f t="shared" ca="1" si="144"/>
        <v>58.546929974222778</v>
      </c>
    </row>
    <row r="295" spans="1:34" x14ac:dyDescent="0.25">
      <c r="A295" s="402">
        <f t="shared" ca="1" si="122"/>
        <v>0.01</v>
      </c>
      <c r="B295" s="357">
        <f t="shared" ca="1" si="123"/>
        <v>2.9099999999999819</v>
      </c>
      <c r="C295" s="342"/>
      <c r="D295" s="359">
        <f t="shared" ca="1" si="124"/>
        <v>13.389423998577549</v>
      </c>
      <c r="E295" s="360">
        <f t="shared" ca="1" si="125"/>
        <v>47.035732423172298</v>
      </c>
      <c r="F295" s="357">
        <f t="shared" ca="1" si="126"/>
        <v>48.904363809356994</v>
      </c>
      <c r="G295" s="359">
        <f t="shared" ca="1" si="127"/>
        <v>44.843604132470944</v>
      </c>
      <c r="H295" s="360">
        <f t="shared" ca="1" si="128"/>
        <v>190.28854558504702</v>
      </c>
      <c r="I295" s="357">
        <f t="shared" ca="1" si="129"/>
        <v>195.50109823850678</v>
      </c>
      <c r="J295" s="359">
        <f t="shared" ca="1" si="130"/>
        <v>64.707639446776113</v>
      </c>
      <c r="K295" s="360">
        <f t="shared" ca="1" si="131"/>
        <v>294.1288374864688</v>
      </c>
      <c r="L295" s="357">
        <f t="shared" ca="1" si="116"/>
        <v>301.16250039458026</v>
      </c>
      <c r="M295" s="359">
        <f t="shared" ca="1" si="132"/>
        <v>1.3393579763476982</v>
      </c>
      <c r="N295" s="357">
        <f t="shared" ca="1" si="133"/>
        <v>76.739559301905842</v>
      </c>
      <c r="O295" s="343"/>
      <c r="P295" s="363">
        <f t="shared" ca="1" si="134"/>
        <v>10</v>
      </c>
      <c r="Q295" s="357">
        <f t="shared" ca="1" si="135"/>
        <v>753.42857142857383</v>
      </c>
      <c r="R295" s="359">
        <f t="shared" ca="1" si="136"/>
        <v>0.37741667769735349</v>
      </c>
      <c r="S295" s="360">
        <f t="shared" ca="1" si="137"/>
        <v>11.13180660681167</v>
      </c>
      <c r="T295" s="357">
        <f t="shared" ca="1" si="117"/>
        <v>109.2030228128225</v>
      </c>
      <c r="U295" s="364">
        <f t="shared" ca="1" si="118"/>
        <v>0</v>
      </c>
      <c r="V295" s="359">
        <f t="shared" ca="1" si="119"/>
        <v>1.1894914222427349</v>
      </c>
      <c r="W295" s="357">
        <f t="shared" ca="1" si="120"/>
        <v>103.81494066624293</v>
      </c>
      <c r="X295" s="343"/>
      <c r="Y295" s="367" t="str">
        <f t="shared" ca="1" si="138"/>
        <v/>
      </c>
      <c r="Z295" s="368" t="str">
        <f t="shared" ca="1" si="139"/>
        <v/>
      </c>
      <c r="AA295" s="369" t="str">
        <f t="shared" ca="1" si="140"/>
        <v/>
      </c>
      <c r="AB295" s="344"/>
      <c r="AC295" s="363" t="e">
        <f t="shared" ca="1" si="141"/>
        <v>#N/A</v>
      </c>
      <c r="AD295" s="376" t="e">
        <f t="shared" ca="1" si="142"/>
        <v>#N/A</v>
      </c>
      <c r="AE295" s="377">
        <f t="shared" ca="1" si="121"/>
        <v>294.1288374864688</v>
      </c>
      <c r="AF295" s="344"/>
      <c r="AG295" s="359">
        <f t="shared" ca="1" si="143"/>
        <v>48.852618770703714</v>
      </c>
      <c r="AH295" s="357">
        <f t="shared" ca="1" si="144"/>
        <v>58.401318219202786</v>
      </c>
    </row>
    <row r="296" spans="1:34" x14ac:dyDescent="0.25">
      <c r="A296" s="402">
        <f t="shared" ca="1" si="122"/>
        <v>0.01</v>
      </c>
      <c r="B296" s="357">
        <f t="shared" ca="1" si="123"/>
        <v>2.9199999999999817</v>
      </c>
      <c r="C296" s="342"/>
      <c r="D296" s="359">
        <f t="shared" ca="1" si="124"/>
        <v>13.362542687385767</v>
      </c>
      <c r="E296" s="360">
        <f t="shared" ca="1" si="125"/>
        <v>46.892374006097427</v>
      </c>
      <c r="F296" s="357">
        <f t="shared" ca="1" si="126"/>
        <v>48.759125166474519</v>
      </c>
      <c r="G296" s="359">
        <f t="shared" ca="1" si="127"/>
        <v>44.977229559344799</v>
      </c>
      <c r="H296" s="360">
        <f t="shared" ca="1" si="128"/>
        <v>190.75746932510799</v>
      </c>
      <c r="I296" s="357">
        <f t="shared" ca="1" si="129"/>
        <v>195.98817128121155</v>
      </c>
      <c r="J296" s="359">
        <f t="shared" ca="1" si="130"/>
        <v>65.156743615235186</v>
      </c>
      <c r="K296" s="360">
        <f t="shared" ca="1" si="131"/>
        <v>296.03406756101958</v>
      </c>
      <c r="L296" s="357">
        <f t="shared" ca="1" si="116"/>
        <v>303.11972947214076</v>
      </c>
      <c r="M296" s="359">
        <f t="shared" ca="1" si="132"/>
        <v>1.3392431635085911</v>
      </c>
      <c r="N296" s="357">
        <f t="shared" ca="1" si="133"/>
        <v>76.732981010791093</v>
      </c>
      <c r="O296" s="343"/>
      <c r="P296" s="363">
        <f t="shared" ca="1" si="134"/>
        <v>10</v>
      </c>
      <c r="Q296" s="357">
        <f t="shared" ca="1" si="135"/>
        <v>752.08571428571679</v>
      </c>
      <c r="R296" s="359">
        <f t="shared" ca="1" si="136"/>
        <v>0.37674399723274316</v>
      </c>
      <c r="S296" s="360">
        <f t="shared" ca="1" si="137"/>
        <v>11.128039166839343</v>
      </c>
      <c r="T296" s="357">
        <f t="shared" ca="1" si="117"/>
        <v>109.16606422669396</v>
      </c>
      <c r="U296" s="364">
        <f t="shared" ca="1" si="118"/>
        <v>0</v>
      </c>
      <c r="V296" s="359">
        <f t="shared" ca="1" si="119"/>
        <v>1.1892647690129909</v>
      </c>
      <c r="W296" s="357">
        <f t="shared" ca="1" si="120"/>
        <v>104.31299560308237</v>
      </c>
      <c r="X296" s="343"/>
      <c r="Y296" s="367" t="str">
        <f t="shared" ca="1" si="138"/>
        <v/>
      </c>
      <c r="Z296" s="368" t="str">
        <f t="shared" ca="1" si="139"/>
        <v/>
      </c>
      <c r="AA296" s="369" t="str">
        <f t="shared" ca="1" si="140"/>
        <v/>
      </c>
      <c r="AB296" s="344"/>
      <c r="AC296" s="363" t="e">
        <f t="shared" ca="1" si="141"/>
        <v>#N/A</v>
      </c>
      <c r="AD296" s="376" t="e">
        <f t="shared" ca="1" si="142"/>
        <v>#N/A</v>
      </c>
      <c r="AE296" s="377">
        <f t="shared" ca="1" si="121"/>
        <v>296.03406756101958</v>
      </c>
      <c r="AF296" s="344"/>
      <c r="AG296" s="359">
        <f t="shared" ca="1" si="143"/>
        <v>48.707175094790131</v>
      </c>
      <c r="AH296" s="357">
        <f t="shared" ca="1" si="144"/>
        <v>58.255615737880248</v>
      </c>
    </row>
    <row r="297" spans="1:34" x14ac:dyDescent="0.25">
      <c r="A297" s="402">
        <f t="shared" ca="1" si="122"/>
        <v>0.01</v>
      </c>
      <c r="B297" s="357">
        <f t="shared" ca="1" si="123"/>
        <v>2.9299999999999815</v>
      </c>
      <c r="C297" s="342"/>
      <c r="D297" s="359">
        <f t="shared" ca="1" si="124"/>
        <v>13.335595053666085</v>
      </c>
      <c r="E297" s="360">
        <f t="shared" ca="1" si="125"/>
        <v>46.748938585252134</v>
      </c>
      <c r="F297" s="357">
        <f t="shared" ca="1" si="126"/>
        <v>48.613797982497097</v>
      </c>
      <c r="G297" s="359">
        <f t="shared" ca="1" si="127"/>
        <v>45.11058550988146</v>
      </c>
      <c r="H297" s="360">
        <f t="shared" ca="1" si="128"/>
        <v>191.22495871096052</v>
      </c>
      <c r="I297" s="357">
        <f t="shared" ca="1" si="129"/>
        <v>196.47378898736821</v>
      </c>
      <c r="J297" s="359">
        <f t="shared" ca="1" si="130"/>
        <v>65.607182690581311</v>
      </c>
      <c r="K297" s="360">
        <f t="shared" ca="1" si="131"/>
        <v>297.94397970119991</v>
      </c>
      <c r="L297" s="357">
        <f t="shared" ca="1" si="116"/>
        <v>305.08182092806567</v>
      </c>
      <c r="M297" s="359">
        <f t="shared" ca="1" si="132"/>
        <v>1.3391285786513463</v>
      </c>
      <c r="N297" s="357">
        <f t="shared" ca="1" si="133"/>
        <v>76.726415782074852</v>
      </c>
      <c r="O297" s="343"/>
      <c r="P297" s="363">
        <f t="shared" ca="1" si="134"/>
        <v>10</v>
      </c>
      <c r="Q297" s="357">
        <f t="shared" ca="1" si="135"/>
        <v>750.74285714285963</v>
      </c>
      <c r="R297" s="359">
        <f t="shared" ca="1" si="136"/>
        <v>0.37607131676813277</v>
      </c>
      <c r="S297" s="360">
        <f t="shared" ca="1" si="137"/>
        <v>11.124278453671662</v>
      </c>
      <c r="T297" s="357">
        <f t="shared" ca="1" si="117"/>
        <v>109.12917163051901</v>
      </c>
      <c r="U297" s="364">
        <f t="shared" ca="1" si="118"/>
        <v>0</v>
      </c>
      <c r="V297" s="359">
        <f t="shared" ca="1" si="119"/>
        <v>1.1890376014931401</v>
      </c>
      <c r="W297" s="357">
        <f t="shared" ca="1" si="120"/>
        <v>104.81054338798542</v>
      </c>
      <c r="X297" s="343"/>
      <c r="Y297" s="367" t="str">
        <f t="shared" ca="1" si="138"/>
        <v/>
      </c>
      <c r="Z297" s="368" t="str">
        <f t="shared" ca="1" si="139"/>
        <v/>
      </c>
      <c r="AA297" s="369" t="str">
        <f t="shared" ca="1" si="140"/>
        <v/>
      </c>
      <c r="AB297" s="344"/>
      <c r="AC297" s="363" t="e">
        <f t="shared" ca="1" si="141"/>
        <v>#N/A</v>
      </c>
      <c r="AD297" s="376" t="e">
        <f t="shared" ca="1" si="142"/>
        <v>#N/A</v>
      </c>
      <c r="AE297" s="377">
        <f t="shared" ca="1" si="121"/>
        <v>297.94397970119991</v>
      </c>
      <c r="AF297" s="344"/>
      <c r="AG297" s="359">
        <f t="shared" ca="1" si="143"/>
        <v>48.561641633671357</v>
      </c>
      <c r="AH297" s="357">
        <f t="shared" ca="1" si="144"/>
        <v>58.109823862456224</v>
      </c>
    </row>
    <row r="298" spans="1:34" x14ac:dyDescent="0.25">
      <c r="A298" s="402">
        <f t="shared" ca="1" si="122"/>
        <v>0.01</v>
      </c>
      <c r="B298" s="357">
        <f t="shared" ca="1" si="123"/>
        <v>2.9399999999999813</v>
      </c>
      <c r="C298" s="342"/>
      <c r="D298" s="359">
        <f t="shared" ca="1" si="124"/>
        <v>13.30858157865848</v>
      </c>
      <c r="E298" s="360">
        <f t="shared" ca="1" si="125"/>
        <v>46.605427423857094</v>
      </c>
      <c r="F298" s="357">
        <f t="shared" ca="1" si="126"/>
        <v>48.468383602057735</v>
      </c>
      <c r="G298" s="359">
        <f t="shared" ca="1" si="127"/>
        <v>45.243671325668046</v>
      </c>
      <c r="H298" s="360">
        <f t="shared" ca="1" si="128"/>
        <v>191.69101298519908</v>
      </c>
      <c r="I298" s="357">
        <f t="shared" ca="1" si="129"/>
        <v>196.95795047247228</v>
      </c>
      <c r="J298" s="359">
        <f t="shared" ca="1" si="130"/>
        <v>66.058953974759063</v>
      </c>
      <c r="K298" s="360">
        <f t="shared" ca="1" si="131"/>
        <v>299.85855955968071</v>
      </c>
      <c r="L298" s="357">
        <f t="shared" ca="1" si="116"/>
        <v>307.04876020177301</v>
      </c>
      <c r="M298" s="359">
        <f t="shared" ca="1" si="132"/>
        <v>1.3390142199182642</v>
      </c>
      <c r="N298" s="357">
        <f t="shared" ca="1" si="133"/>
        <v>76.719863509318785</v>
      </c>
      <c r="O298" s="343"/>
      <c r="P298" s="363">
        <f t="shared" ca="1" si="134"/>
        <v>10</v>
      </c>
      <c r="Q298" s="357">
        <f t="shared" ca="1" si="135"/>
        <v>749.40000000000248</v>
      </c>
      <c r="R298" s="359">
        <f t="shared" ca="1" si="136"/>
        <v>0.37539863630352238</v>
      </c>
      <c r="S298" s="360">
        <f t="shared" ca="1" si="137"/>
        <v>11.120524467308627</v>
      </c>
      <c r="T298" s="357">
        <f t="shared" ca="1" si="117"/>
        <v>109.09234502429764</v>
      </c>
      <c r="U298" s="364">
        <f t="shared" ca="1" si="118"/>
        <v>0</v>
      </c>
      <c r="V298" s="359">
        <f t="shared" ca="1" si="119"/>
        <v>1.1888099216915355</v>
      </c>
      <c r="W298" s="357">
        <f t="shared" ca="1" si="120"/>
        <v>105.30757122189033</v>
      </c>
      <c r="X298" s="343"/>
      <c r="Y298" s="367" t="str">
        <f t="shared" ca="1" si="138"/>
        <v/>
      </c>
      <c r="Z298" s="368" t="str">
        <f t="shared" ca="1" si="139"/>
        <v/>
      </c>
      <c r="AA298" s="369" t="str">
        <f t="shared" ca="1" si="140"/>
        <v/>
      </c>
      <c r="AB298" s="344"/>
      <c r="AC298" s="363" t="e">
        <f t="shared" ca="1" si="141"/>
        <v>#N/A</v>
      </c>
      <c r="AD298" s="376" t="e">
        <f t="shared" ca="1" si="142"/>
        <v>#N/A</v>
      </c>
      <c r="AE298" s="377">
        <f t="shared" ca="1" si="121"/>
        <v>299.85855955968071</v>
      </c>
      <c r="AF298" s="344"/>
      <c r="AG298" s="359">
        <f t="shared" ca="1" si="143"/>
        <v>48.416019720394502</v>
      </c>
      <c r="AH298" s="357">
        <f t="shared" ca="1" si="144"/>
        <v>57.96394392251355</v>
      </c>
    </row>
    <row r="299" spans="1:34" x14ac:dyDescent="0.25">
      <c r="A299" s="402">
        <f t="shared" ca="1" si="122"/>
        <v>0.01</v>
      </c>
      <c r="B299" s="357">
        <f t="shared" ca="1" si="123"/>
        <v>2.9499999999999811</v>
      </c>
      <c r="C299" s="342"/>
      <c r="D299" s="359">
        <f t="shared" ca="1" si="124"/>
        <v>13.281502741635205</v>
      </c>
      <c r="E299" s="360">
        <f t="shared" ca="1" si="125"/>
        <v>46.461841782772417</v>
      </c>
      <c r="F299" s="357">
        <f t="shared" ca="1" si="126"/>
        <v>48.322883367235448</v>
      </c>
      <c r="G299" s="359">
        <f t="shared" ca="1" si="127"/>
        <v>45.376486353084395</v>
      </c>
      <c r="H299" s="360">
        <f t="shared" ca="1" si="128"/>
        <v>192.1556314030268</v>
      </c>
      <c r="I299" s="357">
        <f t="shared" ca="1" si="129"/>
        <v>197.4406548653229</v>
      </c>
      <c r="J299" s="359">
        <f t="shared" ca="1" si="130"/>
        <v>66.512054763152832</v>
      </c>
      <c r="K299" s="360">
        <f t="shared" ca="1" si="131"/>
        <v>301.77779278162183</v>
      </c>
      <c r="L299" s="357">
        <f t="shared" ca="1" si="116"/>
        <v>309.02053272390191</v>
      </c>
      <c r="M299" s="359">
        <f t="shared" ca="1" si="132"/>
        <v>1.3389000854689053</v>
      </c>
      <c r="N299" s="357">
        <f t="shared" ca="1" si="133"/>
        <v>76.713324087073474</v>
      </c>
      <c r="O299" s="343"/>
      <c r="P299" s="363">
        <f t="shared" ca="1" si="134"/>
        <v>10</v>
      </c>
      <c r="Q299" s="357">
        <f t="shared" ca="1" si="135"/>
        <v>748.05714285714544</v>
      </c>
      <c r="R299" s="359">
        <f t="shared" ca="1" si="136"/>
        <v>0.37472595583891205</v>
      </c>
      <c r="S299" s="360">
        <f t="shared" ca="1" si="137"/>
        <v>11.116777207750237</v>
      </c>
      <c r="T299" s="357">
        <f t="shared" ca="1" si="117"/>
        <v>109.05558440802983</v>
      </c>
      <c r="U299" s="364">
        <f t="shared" ca="1" si="118"/>
        <v>0</v>
      </c>
      <c r="V299" s="359">
        <f t="shared" ca="1" si="119"/>
        <v>1.1885817316167331</v>
      </c>
      <c r="W299" s="357">
        <f t="shared" ca="1" si="120"/>
        <v>105.80406635897572</v>
      </c>
      <c r="X299" s="343"/>
      <c r="Y299" s="367" t="str">
        <f t="shared" ca="1" si="138"/>
        <v/>
      </c>
      <c r="Z299" s="368" t="str">
        <f t="shared" ca="1" si="139"/>
        <v/>
      </c>
      <c r="AA299" s="369" t="str">
        <f t="shared" ca="1" si="140"/>
        <v/>
      </c>
      <c r="AB299" s="344"/>
      <c r="AC299" s="363" t="e">
        <f t="shared" ca="1" si="141"/>
        <v>#N/A</v>
      </c>
      <c r="AD299" s="376" t="e">
        <f t="shared" ca="1" si="142"/>
        <v>#N/A</v>
      </c>
      <c r="AE299" s="377">
        <f t="shared" ca="1" si="121"/>
        <v>301.77779278162183</v>
      </c>
      <c r="AF299" s="344"/>
      <c r="AG299" s="359">
        <f t="shared" ca="1" si="143"/>
        <v>48.270310685325541</v>
      </c>
      <c r="AH299" s="357">
        <f t="shared" ca="1" si="144"/>
        <v>57.817977244983553</v>
      </c>
    </row>
    <row r="300" spans="1:34" x14ac:dyDescent="0.25">
      <c r="A300" s="402">
        <f t="shared" ca="1" si="122"/>
        <v>0.01</v>
      </c>
      <c r="B300" s="357">
        <f t="shared" ca="1" si="123"/>
        <v>2.9599999999999809</v>
      </c>
      <c r="C300" s="342"/>
      <c r="D300" s="359">
        <f t="shared" ca="1" si="124"/>
        <v>13.254359019913</v>
      </c>
      <c r="E300" s="360">
        <f t="shared" ca="1" si="125"/>
        <v>46.31818292046237</v>
      </c>
      <c r="F300" s="357">
        <f t="shared" ca="1" si="126"/>
        <v>48.177298617524841</v>
      </c>
      <c r="G300" s="359">
        <f t="shared" ca="1" si="127"/>
        <v>45.509029943283522</v>
      </c>
      <c r="H300" s="360">
        <f t="shared" ca="1" si="128"/>
        <v>192.61881323223142</v>
      </c>
      <c r="I300" s="357">
        <f t="shared" ca="1" si="129"/>
        <v>197.92190130799554</v>
      </c>
      <c r="J300" s="359">
        <f t="shared" ca="1" si="130"/>
        <v>66.96648234463467</v>
      </c>
      <c r="K300" s="360">
        <f t="shared" ca="1" si="131"/>
        <v>303.70166500479814</v>
      </c>
      <c r="L300" s="357">
        <f t="shared" ca="1" si="116"/>
        <v>310.99712391644539</v>
      </c>
      <c r="M300" s="359">
        <f t="shared" ca="1" si="132"/>
        <v>1.338786173479859</v>
      </c>
      <c r="N300" s="357">
        <f t="shared" ca="1" si="133"/>
        <v>76.706797410865178</v>
      </c>
      <c r="O300" s="343"/>
      <c r="P300" s="363">
        <f t="shared" ca="1" si="134"/>
        <v>10</v>
      </c>
      <c r="Q300" s="357">
        <f t="shared" ca="1" si="135"/>
        <v>746.71428571428828</v>
      </c>
      <c r="R300" s="359">
        <f t="shared" ca="1" si="136"/>
        <v>0.37405327537430166</v>
      </c>
      <c r="S300" s="360">
        <f t="shared" ca="1" si="137"/>
        <v>11.113036674996494</v>
      </c>
      <c r="T300" s="357">
        <f t="shared" ca="1" si="117"/>
        <v>109.0188897817156</v>
      </c>
      <c r="U300" s="364">
        <f t="shared" ca="1" si="118"/>
        <v>0</v>
      </c>
      <c r="V300" s="359">
        <f t="shared" ca="1" si="119"/>
        <v>1.1883530332774628</v>
      </c>
      <c r="W300" s="357">
        <f t="shared" ca="1" si="120"/>
        <v>106.30001610688338</v>
      </c>
      <c r="X300" s="343"/>
      <c r="Y300" s="367" t="str">
        <f t="shared" ca="1" si="138"/>
        <v/>
      </c>
      <c r="Z300" s="368" t="str">
        <f t="shared" ca="1" si="139"/>
        <v/>
      </c>
      <c r="AA300" s="369" t="str">
        <f t="shared" ca="1" si="140"/>
        <v/>
      </c>
      <c r="AB300" s="344"/>
      <c r="AC300" s="363" t="e">
        <f t="shared" ca="1" si="141"/>
        <v>#N/A</v>
      </c>
      <c r="AD300" s="376" t="e">
        <f t="shared" ca="1" si="142"/>
        <v>#N/A</v>
      </c>
      <c r="AE300" s="377">
        <f t="shared" ca="1" si="121"/>
        <v>303.70166500479814</v>
      </c>
      <c r="AF300" s="344"/>
      <c r="AG300" s="359">
        <f t="shared" ca="1" si="143"/>
        <v>48.12451585611673</v>
      </c>
      <c r="AH300" s="357">
        <f t="shared" ca="1" si="144"/>
        <v>57.671925154113183</v>
      </c>
    </row>
    <row r="301" spans="1:34" x14ac:dyDescent="0.25">
      <c r="A301" s="402">
        <f t="shared" ca="1" si="122"/>
        <v>0.01</v>
      </c>
      <c r="B301" s="357">
        <f t="shared" ca="1" si="123"/>
        <v>2.9699999999999807</v>
      </c>
      <c r="C301" s="342"/>
      <c r="D301" s="359">
        <f t="shared" ca="1" si="124"/>
        <v>13.227150888865088</v>
      </c>
      <c r="E301" s="360">
        <f t="shared" ca="1" si="125"/>
        <v>46.174452092960195</v>
      </c>
      <c r="F301" s="357">
        <f t="shared" ca="1" si="126"/>
        <v>48.031630689805652</v>
      </c>
      <c r="G301" s="359">
        <f t="shared" ca="1" si="127"/>
        <v>45.641301452172172</v>
      </c>
      <c r="H301" s="360">
        <f t="shared" ca="1" si="128"/>
        <v>193.08055775316103</v>
      </c>
      <c r="I301" s="357">
        <f t="shared" ca="1" si="129"/>
        <v>198.40168895581462</v>
      </c>
      <c r="J301" s="359">
        <f t="shared" ca="1" si="130"/>
        <v>67.422234001611955</v>
      </c>
      <c r="K301" s="360">
        <f t="shared" ca="1" si="131"/>
        <v>305.63016185972509</v>
      </c>
      <c r="L301" s="357">
        <f t="shared" ca="1" si="116"/>
        <v>312.97851919288308</v>
      </c>
      <c r="M301" s="359">
        <f t="shared" ca="1" si="132"/>
        <v>1.3386724821445186</v>
      </c>
      <c r="N301" s="357">
        <f t="shared" ca="1" si="133"/>
        <v>76.70028337718297</v>
      </c>
      <c r="O301" s="343"/>
      <c r="P301" s="363">
        <f t="shared" ca="1" si="134"/>
        <v>10</v>
      </c>
      <c r="Q301" s="357">
        <f t="shared" ca="1" si="135"/>
        <v>745.37142857143112</v>
      </c>
      <c r="R301" s="359">
        <f t="shared" ca="1" si="136"/>
        <v>0.37338059490969128</v>
      </c>
      <c r="S301" s="360">
        <f t="shared" ca="1" si="137"/>
        <v>11.109302869047397</v>
      </c>
      <c r="T301" s="357">
        <f t="shared" ca="1" si="117"/>
        <v>108.98226114535497</v>
      </c>
      <c r="U301" s="364">
        <f t="shared" ca="1" si="118"/>
        <v>0</v>
      </c>
      <c r="V301" s="359">
        <f t="shared" ca="1" si="119"/>
        <v>1.1881238286826088</v>
      </c>
      <c r="W301" s="357">
        <f t="shared" ca="1" si="120"/>
        <v>106.79540782693917</v>
      </c>
      <c r="X301" s="343"/>
      <c r="Y301" s="367" t="str">
        <f t="shared" ca="1" si="138"/>
        <v/>
      </c>
      <c r="Z301" s="368" t="str">
        <f t="shared" ca="1" si="139"/>
        <v/>
      </c>
      <c r="AA301" s="369" t="str">
        <f t="shared" ca="1" si="140"/>
        <v/>
      </c>
      <c r="AB301" s="344"/>
      <c r="AC301" s="363" t="e">
        <f t="shared" ca="1" si="141"/>
        <v>#N/A</v>
      </c>
      <c r="AD301" s="376" t="e">
        <f t="shared" ca="1" si="142"/>
        <v>#N/A</v>
      </c>
      <c r="AE301" s="377">
        <f t="shared" ca="1" si="121"/>
        <v>305.63016185972509</v>
      </c>
      <c r="AF301" s="344"/>
      <c r="AG301" s="359">
        <f t="shared" ca="1" si="143"/>
        <v>47.978636557674335</v>
      </c>
      <c r="AH301" s="357">
        <f t="shared" ca="1" si="144"/>
        <v>57.525788971432277</v>
      </c>
    </row>
    <row r="302" spans="1:34" x14ac:dyDescent="0.25">
      <c r="A302" s="402">
        <f t="shared" ca="1" si="122"/>
        <v>0.01</v>
      </c>
      <c r="B302" s="357">
        <f t="shared" ca="1" si="123"/>
        <v>2.9799999999999804</v>
      </c>
      <c r="C302" s="342"/>
      <c r="D302" s="359">
        <f t="shared" ca="1" si="124"/>
        <v>13.199878821932785</v>
      </c>
      <c r="E302" s="360">
        <f t="shared" ca="1" si="125"/>
        <v>46.030650553833517</v>
      </c>
      <c r="F302" s="357">
        <f t="shared" ca="1" si="126"/>
        <v>47.885880918312893</v>
      </c>
      <c r="G302" s="359">
        <f t="shared" ca="1" si="127"/>
        <v>45.773300240391499</v>
      </c>
      <c r="H302" s="360">
        <f t="shared" ca="1" si="128"/>
        <v>193.54086425869937</v>
      </c>
      <c r="I302" s="357">
        <f t="shared" ca="1" si="129"/>
        <v>198.88001697732562</v>
      </c>
      <c r="J302" s="359">
        <f t="shared" ca="1" si="130"/>
        <v>67.879307010074768</v>
      </c>
      <c r="K302" s="360">
        <f t="shared" ca="1" si="131"/>
        <v>307.56326896978442</v>
      </c>
      <c r="L302" s="357">
        <f t="shared" ca="1" si="116"/>
        <v>314.96470395831329</v>
      </c>
      <c r="M302" s="359">
        <f t="shared" ca="1" si="132"/>
        <v>1.3385590096728581</v>
      </c>
      <c r="N302" s="357">
        <f t="shared" ca="1" si="133"/>
        <v>76.693781883465903</v>
      </c>
      <c r="O302" s="343"/>
      <c r="P302" s="363">
        <f t="shared" ca="1" si="134"/>
        <v>10</v>
      </c>
      <c r="Q302" s="357">
        <f t="shared" ca="1" si="135"/>
        <v>744.02857142857408</v>
      </c>
      <c r="R302" s="359">
        <f t="shared" ca="1" si="136"/>
        <v>0.372707914445081</v>
      </c>
      <c r="S302" s="360">
        <f t="shared" ca="1" si="137"/>
        <v>11.105575789902947</v>
      </c>
      <c r="T302" s="357">
        <f t="shared" ca="1" si="117"/>
        <v>108.94569849894791</v>
      </c>
      <c r="U302" s="364">
        <f t="shared" ca="1" si="118"/>
        <v>0</v>
      </c>
      <c r="V302" s="359">
        <f t="shared" ca="1" si="119"/>
        <v>1.1878941198411839</v>
      </c>
      <c r="W302" s="357">
        <f t="shared" ca="1" si="120"/>
        <v>107.29022893436979</v>
      </c>
      <c r="X302" s="343"/>
      <c r="Y302" s="367" t="str">
        <f t="shared" ca="1" si="138"/>
        <v/>
      </c>
      <c r="Z302" s="368" t="str">
        <f t="shared" ca="1" si="139"/>
        <v/>
      </c>
      <c r="AA302" s="369" t="str">
        <f t="shared" ca="1" si="140"/>
        <v/>
      </c>
      <c r="AB302" s="344"/>
      <c r="AC302" s="363" t="e">
        <f t="shared" ca="1" si="141"/>
        <v>#N/A</v>
      </c>
      <c r="AD302" s="376" t="e">
        <f t="shared" ca="1" si="142"/>
        <v>#N/A</v>
      </c>
      <c r="AE302" s="377">
        <f t="shared" ca="1" si="121"/>
        <v>307.56326896978442</v>
      </c>
      <c r="AF302" s="344"/>
      <c r="AG302" s="359">
        <f t="shared" ca="1" si="143"/>
        <v>47.832674112126682</v>
      </c>
      <c r="AH302" s="357">
        <f t="shared" ca="1" si="144"/>
        <v>57.379570015721249</v>
      </c>
    </row>
    <row r="303" spans="1:34" x14ac:dyDescent="0.25">
      <c r="A303" s="402">
        <f t="shared" ca="1" si="122"/>
        <v>0.01</v>
      </c>
      <c r="B303" s="357">
        <f t="shared" ca="1" si="123"/>
        <v>2.9899999999999802</v>
      </c>
      <c r="C303" s="342"/>
      <c r="D303" s="359">
        <f t="shared" ca="1" si="124"/>
        <v>13.172543290636884</v>
      </c>
      <c r="E303" s="360">
        <f t="shared" ca="1" si="125"/>
        <v>45.886779554149726</v>
      </c>
      <c r="F303" s="357">
        <f t="shared" ca="1" si="126"/>
        <v>47.740050634606959</v>
      </c>
      <c r="G303" s="359">
        <f t="shared" ca="1" si="127"/>
        <v>45.905025673297871</v>
      </c>
      <c r="H303" s="360">
        <f t="shared" ca="1" si="128"/>
        <v>193.99973205424087</v>
      </c>
      <c r="I303" s="357">
        <f t="shared" ca="1" si="129"/>
        <v>199.35688455426711</v>
      </c>
      <c r="J303" s="359">
        <f t="shared" ca="1" si="130"/>
        <v>68.337698639643222</v>
      </c>
      <c r="K303" s="360">
        <f t="shared" ca="1" si="131"/>
        <v>309.50097195134913</v>
      </c>
      <c r="L303" s="357">
        <f t="shared" ca="1" si="116"/>
        <v>316.95566360958514</v>
      </c>
      <c r="M303" s="359">
        <f t="shared" ca="1" si="132"/>
        <v>1.338445754291214</v>
      </c>
      <c r="N303" s="357">
        <f t="shared" ca="1" si="133"/>
        <v>76.687292828090563</v>
      </c>
      <c r="O303" s="343"/>
      <c r="P303" s="363">
        <f t="shared" ca="1" si="134"/>
        <v>10</v>
      </c>
      <c r="Q303" s="357">
        <f t="shared" ca="1" si="135"/>
        <v>742.68571428571693</v>
      </c>
      <c r="R303" s="359">
        <f t="shared" ca="1" si="136"/>
        <v>0.37203523398047061</v>
      </c>
      <c r="S303" s="360">
        <f t="shared" ca="1" si="137"/>
        <v>11.101855437563142</v>
      </c>
      <c r="T303" s="357">
        <f t="shared" ca="1" si="117"/>
        <v>108.90920184249443</v>
      </c>
      <c r="U303" s="364">
        <f t="shared" ca="1" si="118"/>
        <v>0</v>
      </c>
      <c r="V303" s="359">
        <f t="shared" ca="1" si="119"/>
        <v>1.1876639087623064</v>
      </c>
      <c r="W303" s="357">
        <f t="shared" ca="1" si="120"/>
        <v>107.78446689851664</v>
      </c>
      <c r="X303" s="343"/>
      <c r="Y303" s="367" t="str">
        <f t="shared" ca="1" si="138"/>
        <v/>
      </c>
      <c r="Z303" s="368" t="str">
        <f t="shared" ca="1" si="139"/>
        <v/>
      </c>
      <c r="AA303" s="369" t="str">
        <f t="shared" ca="1" si="140"/>
        <v/>
      </c>
      <c r="AB303" s="344"/>
      <c r="AC303" s="363" t="e">
        <f t="shared" ca="1" si="141"/>
        <v>#N/A</v>
      </c>
      <c r="AD303" s="376" t="e">
        <f t="shared" ca="1" si="142"/>
        <v>#N/A</v>
      </c>
      <c r="AE303" s="377">
        <f t="shared" ca="1" si="121"/>
        <v>309.50097195134913</v>
      </c>
      <c r="AF303" s="344"/>
      <c r="AG303" s="359">
        <f t="shared" ca="1" si="143"/>
        <v>47.686629838792186</v>
      </c>
      <c r="AH303" s="357">
        <f t="shared" ca="1" si="144"/>
        <v>57.233269602978773</v>
      </c>
    </row>
    <row r="304" spans="1:34" x14ac:dyDescent="0.25">
      <c r="A304" s="402">
        <f t="shared" ca="1" si="122"/>
        <v>0.01</v>
      </c>
      <c r="B304" s="357">
        <f t="shared" ca="1" si="123"/>
        <v>2.99999999999998</v>
      </c>
      <c r="C304" s="342"/>
      <c r="D304" s="359">
        <f t="shared" ca="1" si="124"/>
        <v>13.145144764588714</v>
      </c>
      <c r="E304" s="360">
        <f t="shared" ca="1" si="125"/>
        <v>45.742840342441987</v>
      </c>
      <c r="F304" s="357">
        <f t="shared" ca="1" si="126"/>
        <v>47.594141167544272</v>
      </c>
      <c r="G304" s="359">
        <f t="shared" ca="1" si="127"/>
        <v>46.036477120943758</v>
      </c>
      <c r="H304" s="360">
        <f t="shared" ca="1" si="128"/>
        <v>194.45716045766528</v>
      </c>
      <c r="I304" s="357">
        <f t="shared" ca="1" si="129"/>
        <v>199.83229088154238</v>
      </c>
      <c r="J304" s="359">
        <f t="shared" ca="1" si="130"/>
        <v>68.797406153614432</v>
      </c>
      <c r="K304" s="360">
        <f t="shared" ca="1" si="131"/>
        <v>311.44325641390867</v>
      </c>
      <c r="L304" s="357">
        <f t="shared" ca="1" si="116"/>
        <v>318.95138353543012</v>
      </c>
      <c r="M304" s="359">
        <f t="shared" ca="1" si="132"/>
        <v>1.3383327142420698</v>
      </c>
      <c r="N304" s="357">
        <f t="shared" ca="1" si="133"/>
        <v>76.680816110358634</v>
      </c>
      <c r="O304" s="343"/>
      <c r="P304" s="363">
        <f t="shared" ca="1" si="134"/>
        <v>10</v>
      </c>
      <c r="Q304" s="357">
        <f t="shared" ca="1" si="135"/>
        <v>741.34285714285988</v>
      </c>
      <c r="R304" s="359">
        <f t="shared" ca="1" si="136"/>
        <v>0.37136255351586028</v>
      </c>
      <c r="S304" s="360">
        <f t="shared" ca="1" si="137"/>
        <v>11.098141812027983</v>
      </c>
      <c r="T304" s="357">
        <f t="shared" ca="1" si="117"/>
        <v>108.87277117599452</v>
      </c>
      <c r="U304" s="364">
        <f t="shared" ca="1" si="118"/>
        <v>0</v>
      </c>
      <c r="V304" s="359">
        <f t="shared" ca="1" si="119"/>
        <v>1.1874331974551771</v>
      </c>
      <c r="W304" s="357">
        <f t="shared" ca="1" si="120"/>
        <v>108.27810924304646</v>
      </c>
      <c r="X304" s="343"/>
      <c r="Y304" s="367" t="str">
        <f t="shared" ca="1" si="138"/>
        <v/>
      </c>
      <c r="Z304" s="368" t="str">
        <f t="shared" ca="1" si="139"/>
        <v/>
      </c>
      <c r="AA304" s="369" t="str">
        <f t="shared" ca="1" si="140"/>
        <v/>
      </c>
      <c r="AB304" s="344"/>
      <c r="AC304" s="363">
        <f t="shared" ca="1" si="141"/>
        <v>2.99999999999998</v>
      </c>
      <c r="AD304" s="376">
        <f t="shared" ca="1" si="142"/>
        <v>68.797406153614432</v>
      </c>
      <c r="AE304" s="377">
        <f t="shared" ca="1" si="121"/>
        <v>311.44325641390867</v>
      </c>
      <c r="AF304" s="344"/>
      <c r="AG304" s="359">
        <f t="shared" ca="1" si="143"/>
        <v>47.540505054147957</v>
      </c>
      <c r="AH304" s="357">
        <f t="shared" ca="1" si="144"/>
        <v>57.086889046390013</v>
      </c>
    </row>
    <row r="305" spans="1:34" x14ac:dyDescent="0.25">
      <c r="A305" s="402">
        <f t="shared" ca="1" si="122"/>
        <v>0.01</v>
      </c>
      <c r="B305" s="357">
        <f t="shared" ca="1" si="123"/>
        <v>3.0099999999999798</v>
      </c>
      <c r="C305" s="342"/>
      <c r="D305" s="359">
        <f t="shared" ca="1" si="124"/>
        <v>13.117683711500936</v>
      </c>
      <c r="E305" s="360">
        <f t="shared" ca="1" si="125"/>
        <v>45.598834164675274</v>
      </c>
      <c r="F305" s="357">
        <f t="shared" ca="1" si="126"/>
        <v>47.448153843248043</v>
      </c>
      <c r="G305" s="359">
        <f t="shared" ca="1" si="127"/>
        <v>46.167653958058764</v>
      </c>
      <c r="H305" s="360">
        <f t="shared" ca="1" si="128"/>
        <v>194.91314879931204</v>
      </c>
      <c r="I305" s="357">
        <f t="shared" ca="1" si="129"/>
        <v>200.30623516719047</v>
      </c>
      <c r="J305" s="359">
        <f t="shared" ca="1" si="130"/>
        <v>69.25842680900945</v>
      </c>
      <c r="K305" s="360">
        <f t="shared" ca="1" si="131"/>
        <v>313.39010796019357</v>
      </c>
      <c r="L305" s="357">
        <f t="shared" ca="1" si="116"/>
        <v>320.95184911659362</v>
      </c>
      <c r="M305" s="359">
        <f t="shared" ca="1" si="132"/>
        <v>1.3382198877838436</v>
      </c>
      <c r="N305" s="357">
        <f t="shared" ca="1" si="133"/>
        <v>76.674351630484864</v>
      </c>
      <c r="O305" s="343"/>
      <c r="P305" s="363">
        <f t="shared" ca="1" si="134"/>
        <v>10</v>
      </c>
      <c r="Q305" s="357">
        <f t="shared" ca="1" si="135"/>
        <v>740.00000000000273</v>
      </c>
      <c r="R305" s="359">
        <f t="shared" ca="1" si="136"/>
        <v>0.3706898730512499</v>
      </c>
      <c r="S305" s="360">
        <f t="shared" ca="1" si="137"/>
        <v>11.094434913297469</v>
      </c>
      <c r="T305" s="357">
        <f t="shared" ca="1" si="117"/>
        <v>108.83640649944817</v>
      </c>
      <c r="U305" s="364">
        <f t="shared" ca="1" si="118"/>
        <v>0</v>
      </c>
      <c r="V305" s="359">
        <f t="shared" ca="1" si="119"/>
        <v>1.1872019879290563</v>
      </c>
      <c r="W305" s="357">
        <f t="shared" ca="1" si="120"/>
        <v>108.7711435461584</v>
      </c>
      <c r="X305" s="343"/>
      <c r="Y305" s="367" t="str">
        <f t="shared" ca="1" si="138"/>
        <v/>
      </c>
      <c r="Z305" s="368" t="str">
        <f t="shared" ca="1" si="139"/>
        <v/>
      </c>
      <c r="AA305" s="369" t="str">
        <f t="shared" ca="1" si="140"/>
        <v/>
      </c>
      <c r="AB305" s="344"/>
      <c r="AC305" s="363" t="e">
        <f t="shared" ca="1" si="141"/>
        <v>#N/A</v>
      </c>
      <c r="AD305" s="376" t="e">
        <f t="shared" ca="1" si="142"/>
        <v>#N/A</v>
      </c>
      <c r="AE305" s="377">
        <f t="shared" ca="1" si="121"/>
        <v>313.39010796019357</v>
      </c>
      <c r="AF305" s="344"/>
      <c r="AG305" s="359">
        <f t="shared" ca="1" si="143"/>
        <v>47.394301071798431</v>
      </c>
      <c r="AH305" s="357">
        <f t="shared" ca="1" si="144"/>
        <v>56.94042965629486</v>
      </c>
    </row>
    <row r="306" spans="1:34" x14ac:dyDescent="0.25">
      <c r="A306" s="402">
        <f t="shared" ca="1" si="122"/>
        <v>0.01</v>
      </c>
      <c r="B306" s="357">
        <f t="shared" ca="1" si="123"/>
        <v>3.0199999999999796</v>
      </c>
      <c r="C306" s="342"/>
      <c r="D306" s="359">
        <f t="shared" ca="1" si="124"/>
        <v>13.090160597198111</v>
      </c>
      <c r="E306" s="360">
        <f t="shared" ca="1" si="125"/>
        <v>45.454762264212924</v>
      </c>
      <c r="F306" s="357">
        <f t="shared" ca="1" si="126"/>
        <v>47.302089985079448</v>
      </c>
      <c r="G306" s="359">
        <f t="shared" ca="1" si="127"/>
        <v>46.298555564030742</v>
      </c>
      <c r="H306" s="360">
        <f t="shared" ca="1" si="128"/>
        <v>195.36769642195418</v>
      </c>
      <c r="I306" s="357">
        <f t="shared" ca="1" si="129"/>
        <v>200.77871663235746</v>
      </c>
      <c r="J306" s="359">
        <f t="shared" ca="1" si="130"/>
        <v>69.720757856619898</v>
      </c>
      <c r="K306" s="360">
        <f t="shared" ca="1" si="131"/>
        <v>315.34151218629989</v>
      </c>
      <c r="L306" s="357">
        <f t="shared" ca="1" si="116"/>
        <v>322.95704572596605</v>
      </c>
      <c r="M306" s="359">
        <f t="shared" ca="1" si="132"/>
        <v>1.3381072731906809</v>
      </c>
      <c r="N306" s="357">
        <f t="shared" ca="1" si="133"/>
        <v>76.667899289585066</v>
      </c>
      <c r="O306" s="343"/>
      <c r="P306" s="363">
        <f t="shared" ca="1" si="134"/>
        <v>10</v>
      </c>
      <c r="Q306" s="357">
        <f t="shared" ca="1" si="135"/>
        <v>738.65714285714557</v>
      </c>
      <c r="R306" s="359">
        <f t="shared" ca="1" si="136"/>
        <v>0.37001719258663951</v>
      </c>
      <c r="S306" s="360">
        <f t="shared" ca="1" si="137"/>
        <v>11.090734741371604</v>
      </c>
      <c r="T306" s="357">
        <f t="shared" ca="1" si="117"/>
        <v>108.80010781285543</v>
      </c>
      <c r="U306" s="364">
        <f t="shared" ca="1" si="118"/>
        <v>0</v>
      </c>
      <c r="V306" s="359">
        <f t="shared" ca="1" si="119"/>
        <v>1.1869702821932384</v>
      </c>
      <c r="W306" s="357">
        <f t="shared" ca="1" si="120"/>
        <v>109.26355744078806</v>
      </c>
      <c r="X306" s="343"/>
      <c r="Y306" s="367" t="str">
        <f t="shared" ca="1" si="138"/>
        <v/>
      </c>
      <c r="Z306" s="368" t="str">
        <f t="shared" ca="1" si="139"/>
        <v/>
      </c>
      <c r="AA306" s="369" t="str">
        <f t="shared" ca="1" si="140"/>
        <v/>
      </c>
      <c r="AB306" s="344"/>
      <c r="AC306" s="363" t="e">
        <f t="shared" ca="1" si="141"/>
        <v>#N/A</v>
      </c>
      <c r="AD306" s="376" t="e">
        <f t="shared" ca="1" si="142"/>
        <v>#N/A</v>
      </c>
      <c r="AE306" s="377">
        <f t="shared" ca="1" si="121"/>
        <v>315.34151218629989</v>
      </c>
      <c r="AF306" s="344"/>
      <c r="AG306" s="359">
        <f t="shared" ca="1" si="143"/>
        <v>47.248019202444333</v>
      </c>
      <c r="AH306" s="357">
        <f t="shared" ca="1" si="144"/>
        <v>56.793892740156586</v>
      </c>
    </row>
    <row r="307" spans="1:34" x14ac:dyDescent="0.25">
      <c r="A307" s="402">
        <f t="shared" ca="1" si="122"/>
        <v>0.01</v>
      </c>
      <c r="B307" s="357">
        <f t="shared" ca="1" si="123"/>
        <v>3.0299999999999794</v>
      </c>
      <c r="C307" s="342"/>
      <c r="D307" s="359">
        <f t="shared" ca="1" si="124"/>
        <v>13.062575885626934</v>
      </c>
      <c r="E307" s="360">
        <f t="shared" ca="1" si="125"/>
        <v>45.310625881783437</v>
      </c>
      <c r="F307" s="357">
        <f t="shared" ca="1" si="126"/>
        <v>47.15595091360904</v>
      </c>
      <c r="G307" s="359">
        <f t="shared" ca="1" si="127"/>
        <v>46.429181322887011</v>
      </c>
      <c r="H307" s="360">
        <f t="shared" ca="1" si="128"/>
        <v>195.820802680772</v>
      </c>
      <c r="I307" s="357">
        <f t="shared" ca="1" si="129"/>
        <v>201.24973451126678</v>
      </c>
      <c r="J307" s="359">
        <f t="shared" ca="1" si="130"/>
        <v>70.184396541054483</v>
      </c>
      <c r="K307" s="360">
        <f t="shared" ca="1" si="131"/>
        <v>317.29745468181352</v>
      </c>
      <c r="L307" s="357">
        <f t="shared" ca="1" si="116"/>
        <v>324.96695872871368</v>
      </c>
      <c r="M307" s="359">
        <f t="shared" ca="1" si="132"/>
        <v>1.3379948687522487</v>
      </c>
      <c r="N307" s="357">
        <f t="shared" ca="1" si="133"/>
        <v>76.661458989664368</v>
      </c>
      <c r="O307" s="343"/>
      <c r="P307" s="363">
        <f t="shared" ca="1" si="134"/>
        <v>10</v>
      </c>
      <c r="Q307" s="357">
        <f t="shared" ca="1" si="135"/>
        <v>737.31428571428853</v>
      </c>
      <c r="R307" s="359">
        <f t="shared" ca="1" si="136"/>
        <v>0.36934451212202918</v>
      </c>
      <c r="S307" s="360">
        <f t="shared" ca="1" si="137"/>
        <v>11.087041296250383</v>
      </c>
      <c r="T307" s="357">
        <f t="shared" ca="1" si="117"/>
        <v>108.76387511621627</v>
      </c>
      <c r="U307" s="364">
        <f t="shared" ca="1" si="118"/>
        <v>0</v>
      </c>
      <c r="V307" s="359">
        <f t="shared" ca="1" si="119"/>
        <v>1.1867380822570321</v>
      </c>
      <c r="W307" s="357">
        <f t="shared" ca="1" si="120"/>
        <v>109.75533861480811</v>
      </c>
      <c r="X307" s="343"/>
      <c r="Y307" s="367" t="str">
        <f t="shared" ca="1" si="138"/>
        <v/>
      </c>
      <c r="Z307" s="368" t="str">
        <f t="shared" ca="1" si="139"/>
        <v/>
      </c>
      <c r="AA307" s="369" t="str">
        <f t="shared" ca="1" si="140"/>
        <v/>
      </c>
      <c r="AB307" s="344"/>
      <c r="AC307" s="363" t="e">
        <f t="shared" ca="1" si="141"/>
        <v>#N/A</v>
      </c>
      <c r="AD307" s="376" t="e">
        <f t="shared" ca="1" si="142"/>
        <v>#N/A</v>
      </c>
      <c r="AE307" s="377">
        <f t="shared" ca="1" si="121"/>
        <v>317.29745468181352</v>
      </c>
      <c r="AF307" s="344"/>
      <c r="AG307" s="359">
        <f t="shared" ca="1" si="143"/>
        <v>47.101660753851952</v>
      </c>
      <c r="AH307" s="357">
        <f t="shared" ca="1" si="144"/>
        <v>56.647279602530752</v>
      </c>
    </row>
    <row r="308" spans="1:34" x14ac:dyDescent="0.25">
      <c r="A308" s="402">
        <f t="shared" ca="1" si="122"/>
        <v>0.01</v>
      </c>
      <c r="B308" s="357">
        <f t="shared" ca="1" si="123"/>
        <v>3.0399999999999792</v>
      </c>
      <c r="C308" s="342"/>
      <c r="D308" s="359">
        <f t="shared" ca="1" si="124"/>
        <v>13.034930038866255</v>
      </c>
      <c r="E308" s="360">
        <f t="shared" ca="1" si="125"/>
        <v>45.166426255447469</v>
      </c>
      <c r="F308" s="357">
        <f t="shared" ca="1" si="126"/>
        <v>47.009737946588388</v>
      </c>
      <c r="G308" s="359">
        <f t="shared" ca="1" si="127"/>
        <v>46.559530623275677</v>
      </c>
      <c r="H308" s="360">
        <f t="shared" ca="1" si="128"/>
        <v>196.27246694332649</v>
      </c>
      <c r="I308" s="357">
        <f t="shared" ca="1" si="129"/>
        <v>201.71928805118992</v>
      </c>
      <c r="J308" s="359">
        <f t="shared" ca="1" si="130"/>
        <v>70.649340100785295</v>
      </c>
      <c r="K308" s="360">
        <f t="shared" ca="1" si="131"/>
        <v>319.25792102993404</v>
      </c>
      <c r="L308" s="357">
        <f t="shared" ca="1" si="116"/>
        <v>326.98157348240898</v>
      </c>
      <c r="M308" s="359">
        <f t="shared" ca="1" si="132"/>
        <v>1.337882672773534</v>
      </c>
      <c r="N308" s="357">
        <f t="shared" ca="1" si="133"/>
        <v>76.655030633605676</v>
      </c>
      <c r="O308" s="343"/>
      <c r="P308" s="363">
        <f t="shared" ca="1" si="134"/>
        <v>10</v>
      </c>
      <c r="Q308" s="357">
        <f t="shared" ca="1" si="135"/>
        <v>735.97142857143137</v>
      </c>
      <c r="R308" s="359">
        <f t="shared" ca="1" si="136"/>
        <v>0.36867183165741879</v>
      </c>
      <c r="S308" s="360">
        <f t="shared" ca="1" si="137"/>
        <v>11.083354577933809</v>
      </c>
      <c r="T308" s="357">
        <f t="shared" ca="1" si="117"/>
        <v>108.72770840953068</v>
      </c>
      <c r="U308" s="364">
        <f t="shared" ca="1" si="118"/>
        <v>0</v>
      </c>
      <c r="V308" s="359">
        <f t="shared" ca="1" si="119"/>
        <v>1.1865053901297351</v>
      </c>
      <c r="W308" s="357">
        <f t="shared" ca="1" si="120"/>
        <v>110.24647481122599</v>
      </c>
      <c r="X308" s="343"/>
      <c r="Y308" s="367" t="str">
        <f t="shared" ca="1" si="138"/>
        <v/>
      </c>
      <c r="Z308" s="368" t="str">
        <f t="shared" ca="1" si="139"/>
        <v/>
      </c>
      <c r="AA308" s="369" t="str">
        <f t="shared" ca="1" si="140"/>
        <v/>
      </c>
      <c r="AB308" s="344"/>
      <c r="AC308" s="363" t="e">
        <f t="shared" ca="1" si="141"/>
        <v>#N/A</v>
      </c>
      <c r="AD308" s="376" t="e">
        <f t="shared" ca="1" si="142"/>
        <v>#N/A</v>
      </c>
      <c r="AE308" s="377">
        <f t="shared" ca="1" si="121"/>
        <v>319.25792102993404</v>
      </c>
      <c r="AF308" s="344"/>
      <c r="AG308" s="359">
        <f t="shared" ca="1" si="143"/>
        <v>46.955227030822513</v>
      </c>
      <c r="AH308" s="357">
        <f t="shared" ca="1" si="144"/>
        <v>56.500591545034219</v>
      </c>
    </row>
    <row r="309" spans="1:34" x14ac:dyDescent="0.25">
      <c r="A309" s="402">
        <f t="shared" ca="1" si="122"/>
        <v>0.01</v>
      </c>
      <c r="B309" s="357">
        <f t="shared" ca="1" si="123"/>
        <v>3.049999999999979</v>
      </c>
      <c r="C309" s="342"/>
      <c r="D309" s="359">
        <f t="shared" ca="1" si="124"/>
        <v>13.007223517136854</v>
      </c>
      <c r="E309" s="360">
        <f t="shared" ca="1" si="125"/>
        <v>45.022164620565299</v>
      </c>
      <c r="F309" s="357">
        <f t="shared" ca="1" si="126"/>
        <v>46.863452398922121</v>
      </c>
      <c r="G309" s="359">
        <f t="shared" ca="1" si="127"/>
        <v>46.689602858447046</v>
      </c>
      <c r="H309" s="360">
        <f t="shared" ca="1" si="128"/>
        <v>196.72268858953214</v>
      </c>
      <c r="I309" s="357">
        <f t="shared" ca="1" si="129"/>
        <v>202.18737651241617</v>
      </c>
      <c r="J309" s="359">
        <f t="shared" ca="1" si="130"/>
        <v>71.11558576819391</v>
      </c>
      <c r="K309" s="360">
        <f t="shared" ca="1" si="131"/>
        <v>321.22289680759832</v>
      </c>
      <c r="L309" s="357">
        <f t="shared" ca="1" si="116"/>
        <v>329.00087533716123</v>
      </c>
      <c r="M309" s="359">
        <f t="shared" ca="1" si="132"/>
        <v>1.337770683574645</v>
      </c>
      <c r="N309" s="357">
        <f t="shared" ca="1" si="133"/>
        <v>76.648614125158275</v>
      </c>
      <c r="O309" s="343"/>
      <c r="P309" s="363">
        <f t="shared" ca="1" si="134"/>
        <v>10</v>
      </c>
      <c r="Q309" s="357">
        <f t="shared" ca="1" si="135"/>
        <v>734.62857142857422</v>
      </c>
      <c r="R309" s="359">
        <f t="shared" ca="1" si="136"/>
        <v>0.3679991511928084</v>
      </c>
      <c r="S309" s="360">
        <f t="shared" ca="1" si="137"/>
        <v>11.079674586421881</v>
      </c>
      <c r="T309" s="357">
        <f t="shared" ca="1" si="117"/>
        <v>108.69160769279866</v>
      </c>
      <c r="U309" s="364">
        <f t="shared" ca="1" si="118"/>
        <v>0</v>
      </c>
      <c r="V309" s="359">
        <f t="shared" ca="1" si="119"/>
        <v>1.1862722078206107</v>
      </c>
      <c r="W309" s="357">
        <f t="shared" ca="1" si="120"/>
        <v>110.73695382837781</v>
      </c>
      <c r="X309" s="343"/>
      <c r="Y309" s="367" t="str">
        <f t="shared" ca="1" si="138"/>
        <v/>
      </c>
      <c r="Z309" s="368" t="str">
        <f t="shared" ca="1" si="139"/>
        <v/>
      </c>
      <c r="AA309" s="369" t="str">
        <f t="shared" ca="1" si="140"/>
        <v/>
      </c>
      <c r="AB309" s="344"/>
      <c r="AC309" s="363" t="e">
        <f t="shared" ca="1" si="141"/>
        <v>#N/A</v>
      </c>
      <c r="AD309" s="376" t="e">
        <f t="shared" ca="1" si="142"/>
        <v>#N/A</v>
      </c>
      <c r="AE309" s="377">
        <f t="shared" ca="1" si="121"/>
        <v>321.22289680759832</v>
      </c>
      <c r="AF309" s="344"/>
      <c r="AG309" s="359">
        <f t="shared" ca="1" si="143"/>
        <v>46.808719335161925</v>
      </c>
      <c r="AH309" s="357">
        <f t="shared" ca="1" si="144"/>
        <v>56.353829866314598</v>
      </c>
    </row>
    <row r="310" spans="1:34" x14ac:dyDescent="0.25">
      <c r="A310" s="402">
        <f t="shared" ca="1" si="122"/>
        <v>0.01</v>
      </c>
      <c r="B310" s="357">
        <f t="shared" ca="1" si="123"/>
        <v>3.0599999999999787</v>
      </c>
      <c r="C310" s="342"/>
      <c r="D310" s="359">
        <f t="shared" ca="1" si="124"/>
        <v>12.979456778810965</v>
      </c>
      <c r="E310" s="360">
        <f t="shared" ca="1" si="125"/>
        <v>44.877842209764495</v>
      </c>
      <c r="F310" s="357">
        <f t="shared" ca="1" si="126"/>
        <v>46.717095582640212</v>
      </c>
      <c r="G310" s="359">
        <f t="shared" ca="1" si="127"/>
        <v>46.819397426235156</v>
      </c>
      <c r="H310" s="360">
        <f t="shared" ca="1" si="128"/>
        <v>197.17146701162977</v>
      </c>
      <c r="I310" s="357">
        <f t="shared" ca="1" si="129"/>
        <v>202.65399916822258</v>
      </c>
      <c r="J310" s="359">
        <f t="shared" ca="1" si="130"/>
        <v>71.583130769617327</v>
      </c>
      <c r="K310" s="360">
        <f t="shared" ca="1" si="131"/>
        <v>323.19236758560413</v>
      </c>
      <c r="L310" s="357">
        <f t="shared" ca="1" si="116"/>
        <v>331.02484963574619</v>
      </c>
      <c r="M310" s="359">
        <f t="shared" ca="1" si="132"/>
        <v>1.3376588994906164</v>
      </c>
      <c r="N310" s="357">
        <f t="shared" ca="1" si="133"/>
        <v>76.642209368926714</v>
      </c>
      <c r="O310" s="343"/>
      <c r="P310" s="363">
        <f t="shared" ca="1" si="134"/>
        <v>10</v>
      </c>
      <c r="Q310" s="357">
        <f t="shared" ca="1" si="135"/>
        <v>733.28571428571718</v>
      </c>
      <c r="R310" s="359">
        <f t="shared" ca="1" si="136"/>
        <v>0.36732647072819813</v>
      </c>
      <c r="S310" s="360">
        <f t="shared" ca="1" si="137"/>
        <v>11.076001321714598</v>
      </c>
      <c r="T310" s="357">
        <f t="shared" ca="1" si="117"/>
        <v>108.65557296602022</v>
      </c>
      <c r="U310" s="364">
        <f t="shared" ca="1" si="118"/>
        <v>0</v>
      </c>
      <c r="V310" s="359">
        <f t="shared" ca="1" si="119"/>
        <v>1.186038537338866</v>
      </c>
      <c r="W310" s="357">
        <f t="shared" ca="1" si="120"/>
        <v>111.22676352011936</v>
      </c>
      <c r="X310" s="343"/>
      <c r="Y310" s="367" t="str">
        <f t="shared" ca="1" si="138"/>
        <v/>
      </c>
      <c r="Z310" s="368" t="str">
        <f t="shared" ca="1" si="139"/>
        <v/>
      </c>
      <c r="AA310" s="369" t="str">
        <f t="shared" ca="1" si="140"/>
        <v/>
      </c>
      <c r="AB310" s="344"/>
      <c r="AC310" s="363" t="e">
        <f t="shared" ca="1" si="141"/>
        <v>#N/A</v>
      </c>
      <c r="AD310" s="376" t="e">
        <f t="shared" ca="1" si="142"/>
        <v>#N/A</v>
      </c>
      <c r="AE310" s="377">
        <f t="shared" ca="1" si="121"/>
        <v>323.19236758560413</v>
      </c>
      <c r="AF310" s="344"/>
      <c r="AG310" s="359">
        <f t="shared" ca="1" si="143"/>
        <v>46.662138965650797</v>
      </c>
      <c r="AH310" s="357">
        <f t="shared" ca="1" si="144"/>
        <v>56.206995862019895</v>
      </c>
    </row>
    <row r="311" spans="1:34" x14ac:dyDescent="0.25">
      <c r="A311" s="402">
        <f t="shared" ca="1" si="122"/>
        <v>0.01</v>
      </c>
      <c r="B311" s="357">
        <f t="shared" ca="1" si="123"/>
        <v>3.0699999999999785</v>
      </c>
      <c r="C311" s="342"/>
      <c r="D311" s="359">
        <f t="shared" ca="1" si="124"/>
        <v>12.951630280421524</v>
      </c>
      <c r="E311" s="360">
        <f t="shared" ca="1" si="125"/>
        <v>44.733460252907932</v>
      </c>
      <c r="F311" s="357">
        <f t="shared" ca="1" si="126"/>
        <v>46.57066880687055</v>
      </c>
      <c r="G311" s="359">
        <f t="shared" ca="1" si="127"/>
        <v>46.948913729039369</v>
      </c>
      <c r="H311" s="360">
        <f t="shared" ca="1" si="128"/>
        <v>197.61880161415885</v>
      </c>
      <c r="I311" s="357">
        <f t="shared" ca="1" si="129"/>
        <v>203.1191553048433</v>
      </c>
      <c r="J311" s="359">
        <f t="shared" ca="1" si="130"/>
        <v>72.051972325393706</v>
      </c>
      <c r="K311" s="360">
        <f t="shared" ca="1" si="131"/>
        <v>325.16631892873306</v>
      </c>
      <c r="L311" s="357">
        <f t="shared" ca="1" si="116"/>
        <v>333.05348171373595</v>
      </c>
      <c r="M311" s="359">
        <f t="shared" ca="1" si="132"/>
        <v>1.3375473188712168</v>
      </c>
      <c r="N311" s="357">
        <f t="shared" ca="1" si="133"/>
        <v>76.635816270359655</v>
      </c>
      <c r="O311" s="343"/>
      <c r="P311" s="363">
        <f t="shared" ca="1" si="134"/>
        <v>10</v>
      </c>
      <c r="Q311" s="357">
        <f t="shared" ca="1" si="135"/>
        <v>731.94285714286002</v>
      </c>
      <c r="R311" s="359">
        <f t="shared" ca="1" si="136"/>
        <v>0.36665379026358774</v>
      </c>
      <c r="S311" s="360">
        <f t="shared" ca="1" si="137"/>
        <v>11.072334783811963</v>
      </c>
      <c r="T311" s="357">
        <f t="shared" ca="1" si="117"/>
        <v>108.61960422919536</v>
      </c>
      <c r="U311" s="364">
        <f t="shared" ca="1" si="118"/>
        <v>0</v>
      </c>
      <c r="V311" s="359">
        <f t="shared" ca="1" si="119"/>
        <v>1.1858043806936296</v>
      </c>
      <c r="W311" s="357">
        <f t="shared" ca="1" si="120"/>
        <v>111.71589179601403</v>
      </c>
      <c r="X311" s="343"/>
      <c r="Y311" s="367" t="str">
        <f t="shared" ca="1" si="138"/>
        <v/>
      </c>
      <c r="Z311" s="368" t="str">
        <f t="shared" ca="1" si="139"/>
        <v/>
      </c>
      <c r="AA311" s="369" t="str">
        <f t="shared" ca="1" si="140"/>
        <v/>
      </c>
      <c r="AB311" s="344"/>
      <c r="AC311" s="363" t="e">
        <f t="shared" ca="1" si="141"/>
        <v>#N/A</v>
      </c>
      <c r="AD311" s="376" t="e">
        <f t="shared" ca="1" si="142"/>
        <v>#N/A</v>
      </c>
      <c r="AE311" s="377">
        <f t="shared" ca="1" si="121"/>
        <v>325.16631892873306</v>
      </c>
      <c r="AF311" s="344"/>
      <c r="AG311" s="359">
        <f t="shared" ca="1" si="143"/>
        <v>46.515487218014627</v>
      </c>
      <c r="AH311" s="357">
        <f t="shared" ca="1" si="144"/>
        <v>56.060090824768373</v>
      </c>
    </row>
    <row r="312" spans="1:34" x14ac:dyDescent="0.25">
      <c r="A312" s="402">
        <f t="shared" ca="1" si="122"/>
        <v>0.01</v>
      </c>
      <c r="B312" s="357">
        <f t="shared" ca="1" si="123"/>
        <v>3.0799999999999783</v>
      </c>
      <c r="C312" s="342"/>
      <c r="D312" s="359">
        <f t="shared" ca="1" si="124"/>
        <v>12.923744476671235</v>
      </c>
      <c r="E312" s="360">
        <f t="shared" ca="1" si="125"/>
        <v>44.589019977062037</v>
      </c>
      <c r="F312" s="357">
        <f t="shared" ca="1" si="126"/>
        <v>46.424173377811776</v>
      </c>
      <c r="G312" s="359">
        <f t="shared" ca="1" si="127"/>
        <v>47.078151173806084</v>
      </c>
      <c r="H312" s="360">
        <f t="shared" ca="1" si="128"/>
        <v>198.06469181392947</v>
      </c>
      <c r="I312" s="357">
        <f t="shared" ca="1" si="129"/>
        <v>203.58284422143876</v>
      </c>
      <c r="J312" s="359">
        <f t="shared" ca="1" si="130"/>
        <v>72.522107649907937</v>
      </c>
      <c r="K312" s="360">
        <f t="shared" ca="1" si="131"/>
        <v>327.14473639587351</v>
      </c>
      <c r="L312" s="357">
        <f t="shared" ca="1" si="116"/>
        <v>335.08675689962803</v>
      </c>
      <c r="M312" s="359">
        <f t="shared" ca="1" si="132"/>
        <v>1.3374359400807585</v>
      </c>
      <c r="N312" s="357">
        <f t="shared" ca="1" si="133"/>
        <v>76.629434735739125</v>
      </c>
      <c r="O312" s="343"/>
      <c r="P312" s="363">
        <f t="shared" ca="1" si="134"/>
        <v>10</v>
      </c>
      <c r="Q312" s="357">
        <f t="shared" ca="1" si="135"/>
        <v>730.60000000000286</v>
      </c>
      <c r="R312" s="359">
        <f t="shared" ca="1" si="136"/>
        <v>0.36598110979897736</v>
      </c>
      <c r="S312" s="360">
        <f t="shared" ca="1" si="137"/>
        <v>11.068674972713973</v>
      </c>
      <c r="T312" s="357">
        <f t="shared" ca="1" si="117"/>
        <v>108.58370148232409</v>
      </c>
      <c r="U312" s="364">
        <f t="shared" ca="1" si="118"/>
        <v>0</v>
      </c>
      <c r="V312" s="359">
        <f t="shared" ca="1" si="119"/>
        <v>1.1855697398939269</v>
      </c>
      <c r="W312" s="357">
        <f t="shared" ca="1" si="120"/>
        <v>112.20432662151693</v>
      </c>
      <c r="X312" s="343"/>
      <c r="Y312" s="367" t="str">
        <f t="shared" ca="1" si="138"/>
        <v/>
      </c>
      <c r="Z312" s="368" t="str">
        <f t="shared" ca="1" si="139"/>
        <v/>
      </c>
      <c r="AA312" s="369" t="str">
        <f t="shared" ca="1" si="140"/>
        <v/>
      </c>
      <c r="AB312" s="344"/>
      <c r="AC312" s="363" t="e">
        <f t="shared" ca="1" si="141"/>
        <v>#N/A</v>
      </c>
      <c r="AD312" s="376" t="e">
        <f t="shared" ca="1" si="142"/>
        <v>#N/A</v>
      </c>
      <c r="AE312" s="377">
        <f t="shared" ca="1" si="121"/>
        <v>327.14473639587351</v>
      </c>
      <c r="AF312" s="344"/>
      <c r="AG312" s="359">
        <f t="shared" ca="1" si="143"/>
        <v>46.368765384894239</v>
      </c>
      <c r="AH312" s="357">
        <f t="shared" ca="1" si="144"/>
        <v>55.913116044118709</v>
      </c>
    </row>
    <row r="313" spans="1:34" x14ac:dyDescent="0.25">
      <c r="A313" s="402">
        <f t="shared" ca="1" si="122"/>
        <v>0.01</v>
      </c>
      <c r="B313" s="357">
        <f t="shared" ca="1" si="123"/>
        <v>3.0899999999999781</v>
      </c>
      <c r="C313" s="342"/>
      <c r="D313" s="359">
        <f t="shared" ca="1" si="124"/>
        <v>12.895799820441447</v>
      </c>
      <c r="E313" s="360">
        <f t="shared" ca="1" si="125"/>
        <v>44.444522606465505</v>
      </c>
      <c r="F313" s="357">
        <f t="shared" ca="1" si="126"/>
        <v>46.277610598706595</v>
      </c>
      <c r="G313" s="359">
        <f t="shared" ca="1" si="127"/>
        <v>47.207109172010497</v>
      </c>
      <c r="H313" s="360">
        <f t="shared" ca="1" si="128"/>
        <v>198.50913703999413</v>
      </c>
      <c r="I313" s="357">
        <f t="shared" ca="1" si="129"/>
        <v>204.04506523006452</v>
      </c>
      <c r="J313" s="359">
        <f t="shared" ca="1" si="130"/>
        <v>72.993533951637019</v>
      </c>
      <c r="K313" s="360">
        <f t="shared" ca="1" si="131"/>
        <v>329.12760554014312</v>
      </c>
      <c r="L313" s="357">
        <f t="shared" ca="1" si="116"/>
        <v>337.12466051497455</v>
      </c>
      <c r="M313" s="359">
        <f t="shared" ca="1" si="132"/>
        <v>1.3373247614979127</v>
      </c>
      <c r="N313" s="357">
        <f t="shared" ca="1" si="133"/>
        <v>76.623064672169804</v>
      </c>
      <c r="O313" s="343"/>
      <c r="P313" s="363">
        <f t="shared" ca="1" si="134"/>
        <v>10</v>
      </c>
      <c r="Q313" s="357">
        <f t="shared" ca="1" si="135"/>
        <v>729.25714285714582</v>
      </c>
      <c r="R313" s="359">
        <f t="shared" ca="1" si="136"/>
        <v>0.36530842933436702</v>
      </c>
      <c r="S313" s="360">
        <f t="shared" ca="1" si="137"/>
        <v>11.065021888420629</v>
      </c>
      <c r="T313" s="357">
        <f t="shared" ca="1" si="117"/>
        <v>108.54786472540638</v>
      </c>
      <c r="U313" s="364">
        <f t="shared" ca="1" si="118"/>
        <v>0</v>
      </c>
      <c r="V313" s="359">
        <f t="shared" ca="1" si="119"/>
        <v>1.1853346169486585</v>
      </c>
      <c r="W313" s="357">
        <f t="shared" ca="1" si="120"/>
        <v>112.69205601815628</v>
      </c>
      <c r="X313" s="343"/>
      <c r="Y313" s="367" t="str">
        <f t="shared" ca="1" si="138"/>
        <v/>
      </c>
      <c r="Z313" s="368" t="str">
        <f t="shared" ca="1" si="139"/>
        <v/>
      </c>
      <c r="AA313" s="369" t="str">
        <f t="shared" ca="1" si="140"/>
        <v/>
      </c>
      <c r="AB313" s="344"/>
      <c r="AC313" s="363" t="e">
        <f t="shared" ca="1" si="141"/>
        <v>#N/A</v>
      </c>
      <c r="AD313" s="376" t="e">
        <f t="shared" ca="1" si="142"/>
        <v>#N/A</v>
      </c>
      <c r="AE313" s="377">
        <f t="shared" ca="1" si="121"/>
        <v>329.12760554014312</v>
      </c>
      <c r="AF313" s="344"/>
      <c r="AG313" s="359">
        <f t="shared" ca="1" si="143"/>
        <v>46.221974755816646</v>
      </c>
      <c r="AH313" s="357">
        <f t="shared" ca="1" si="144"/>
        <v>55.766072806540485</v>
      </c>
    </row>
    <row r="314" spans="1:34" x14ac:dyDescent="0.25">
      <c r="A314" s="402">
        <f t="shared" ca="1" si="122"/>
        <v>0.01</v>
      </c>
      <c r="B314" s="357">
        <f t="shared" ca="1" si="123"/>
        <v>3.0999999999999779</v>
      </c>
      <c r="C314" s="342"/>
      <c r="D314" s="359">
        <f t="shared" ca="1" si="124"/>
        <v>12.867796762800669</v>
      </c>
      <c r="E314" s="360">
        <f t="shared" ca="1" si="125"/>
        <v>44.299969362498096</v>
      </c>
      <c r="F314" s="357">
        <f t="shared" ca="1" si="126"/>
        <v>46.130981769815101</v>
      </c>
      <c r="G314" s="359">
        <f t="shared" ca="1" si="127"/>
        <v>47.335787139638505</v>
      </c>
      <c r="H314" s="360">
        <f t="shared" ca="1" si="128"/>
        <v>198.95213673361911</v>
      </c>
      <c r="I314" s="357">
        <f t="shared" ca="1" si="129"/>
        <v>204.50581765563993</v>
      </c>
      <c r="J314" s="359">
        <f t="shared" ca="1" si="130"/>
        <v>73.466248433195261</v>
      </c>
      <c r="K314" s="360">
        <f t="shared" ca="1" si="131"/>
        <v>331.1149119090112</v>
      </c>
      <c r="L314" s="357">
        <f t="shared" ca="1" si="116"/>
        <v>339.16717787451103</v>
      </c>
      <c r="M314" s="359">
        <f t="shared" ca="1" si="132"/>
        <v>1.3372137815155254</v>
      </c>
      <c r="N314" s="357">
        <f t="shared" ca="1" si="133"/>
        <v>76.616705987568579</v>
      </c>
      <c r="O314" s="343"/>
      <c r="P314" s="363">
        <f t="shared" ca="1" si="134"/>
        <v>10</v>
      </c>
      <c r="Q314" s="357">
        <f t="shared" ca="1" si="135"/>
        <v>727.91428571428867</v>
      </c>
      <c r="R314" s="359">
        <f t="shared" ca="1" si="136"/>
        <v>0.36463574886975664</v>
      </c>
      <c r="S314" s="360">
        <f t="shared" ca="1" si="137"/>
        <v>11.061375530931931</v>
      </c>
      <c r="T314" s="357">
        <f t="shared" ca="1" si="117"/>
        <v>108.51209395844225</v>
      </c>
      <c r="U314" s="364">
        <f t="shared" ca="1" si="118"/>
        <v>0</v>
      </c>
      <c r="V314" s="359">
        <f t="shared" ca="1" si="119"/>
        <v>1.1850990138665787</v>
      </c>
      <c r="W314" s="357">
        <f t="shared" ca="1" si="120"/>
        <v>113.17906806371155</v>
      </c>
      <c r="X314" s="343"/>
      <c r="Y314" s="367" t="str">
        <f t="shared" ca="1" si="138"/>
        <v/>
      </c>
      <c r="Z314" s="368" t="str">
        <f t="shared" ca="1" si="139"/>
        <v/>
      </c>
      <c r="AA314" s="369" t="str">
        <f t="shared" ca="1" si="140"/>
        <v/>
      </c>
      <c r="AB314" s="344"/>
      <c r="AC314" s="363" t="e">
        <f t="shared" ca="1" si="141"/>
        <v>#N/A</v>
      </c>
      <c r="AD314" s="376" t="e">
        <f t="shared" ca="1" si="142"/>
        <v>#N/A</v>
      </c>
      <c r="AE314" s="377">
        <f t="shared" ca="1" si="121"/>
        <v>331.1149119090112</v>
      </c>
      <c r="AF314" s="344"/>
      <c r="AG314" s="359">
        <f t="shared" ca="1" si="143"/>
        <v>46.075116617165918</v>
      </c>
      <c r="AH314" s="357">
        <f t="shared" ca="1" si="144"/>
        <v>55.618962395384777</v>
      </c>
    </row>
    <row r="315" spans="1:34" x14ac:dyDescent="0.25">
      <c r="A315" s="402">
        <f t="shared" ca="1" si="122"/>
        <v>0.01</v>
      </c>
      <c r="B315" s="357">
        <f t="shared" ca="1" si="123"/>
        <v>3.1099999999999777</v>
      </c>
      <c r="C315" s="342"/>
      <c r="D315" s="359">
        <f t="shared" ca="1" si="124"/>
        <v>12.839735753013009</v>
      </c>
      <c r="E315" s="360">
        <f t="shared" ca="1" si="125"/>
        <v>44.155361463649911</v>
      </c>
      <c r="F315" s="357">
        <f t="shared" ca="1" si="126"/>
        <v>45.984288188388653</v>
      </c>
      <c r="G315" s="359">
        <f t="shared" ca="1" si="127"/>
        <v>47.464184497168638</v>
      </c>
      <c r="H315" s="360">
        <f t="shared" ca="1" si="128"/>
        <v>199.3936903482556</v>
      </c>
      <c r="I315" s="357">
        <f t="shared" ca="1" si="129"/>
        <v>204.96510083591622</v>
      </c>
      <c r="J315" s="359">
        <f t="shared" ca="1" si="130"/>
        <v>73.940248291379291</v>
      </c>
      <c r="K315" s="360">
        <f t="shared" ca="1" si="131"/>
        <v>333.1066410444206</v>
      </c>
      <c r="L315" s="357">
        <f t="shared" ca="1" si="116"/>
        <v>341.21429428628471</v>
      </c>
      <c r="M315" s="359">
        <f t="shared" ca="1" si="132"/>
        <v>1.3371029985404366</v>
      </c>
      <c r="N315" s="357">
        <f t="shared" ca="1" si="133"/>
        <v>76.610358590654087</v>
      </c>
      <c r="O315" s="343"/>
      <c r="P315" s="363">
        <f t="shared" ca="1" si="134"/>
        <v>10</v>
      </c>
      <c r="Q315" s="357">
        <f t="shared" ca="1" si="135"/>
        <v>726.57142857143162</v>
      </c>
      <c r="R315" s="359">
        <f t="shared" ca="1" si="136"/>
        <v>0.36396306840514631</v>
      </c>
      <c r="S315" s="360">
        <f t="shared" ca="1" si="137"/>
        <v>11.057735900247879</v>
      </c>
      <c r="T315" s="357">
        <f t="shared" ca="1" si="117"/>
        <v>108.4763891814317</v>
      </c>
      <c r="U315" s="364">
        <f t="shared" ca="1" si="118"/>
        <v>0</v>
      </c>
      <c r="V315" s="359">
        <f t="shared" ca="1" si="119"/>
        <v>1.1848629326562705</v>
      </c>
      <c r="W315" s="357">
        <f t="shared" ca="1" si="120"/>
        <v>113.66535089238786</v>
      </c>
      <c r="X315" s="343"/>
      <c r="Y315" s="367" t="str">
        <f t="shared" ca="1" si="138"/>
        <v/>
      </c>
      <c r="Z315" s="368" t="str">
        <f t="shared" ca="1" si="139"/>
        <v/>
      </c>
      <c r="AA315" s="369" t="str">
        <f t="shared" ca="1" si="140"/>
        <v/>
      </c>
      <c r="AB315" s="344"/>
      <c r="AC315" s="363" t="e">
        <f t="shared" ca="1" si="141"/>
        <v>#N/A</v>
      </c>
      <c r="AD315" s="376" t="e">
        <f t="shared" ca="1" si="142"/>
        <v>#N/A</v>
      </c>
      <c r="AE315" s="377">
        <f t="shared" ca="1" si="121"/>
        <v>333.1066410444206</v>
      </c>
      <c r="AF315" s="344"/>
      <c r="AG315" s="359">
        <f t="shared" ca="1" si="143"/>
        <v>45.928192252154503</v>
      </c>
      <c r="AH315" s="357">
        <f t="shared" ca="1" si="144"/>
        <v>55.471786090855154</v>
      </c>
    </row>
    <row r="316" spans="1:34" x14ac:dyDescent="0.25">
      <c r="A316" s="402">
        <f t="shared" ca="1" si="122"/>
        <v>0.01</v>
      </c>
      <c r="B316" s="357">
        <f t="shared" ca="1" si="123"/>
        <v>3.1199999999999775</v>
      </c>
      <c r="C316" s="342"/>
      <c r="D316" s="359">
        <f t="shared" ca="1" si="124"/>
        <v>12.811617238546361</v>
      </c>
      <c r="E316" s="360">
        <f t="shared" ca="1" si="125"/>
        <v>44.010700125490892</v>
      </c>
      <c r="F316" s="357">
        <f t="shared" ca="1" si="126"/>
        <v>45.837531148643926</v>
      </c>
      <c r="G316" s="359">
        <f t="shared" ca="1" si="127"/>
        <v>47.592300669554099</v>
      </c>
      <c r="H316" s="360">
        <f t="shared" ca="1" si="128"/>
        <v>199.83379734951052</v>
      </c>
      <c r="I316" s="357">
        <f t="shared" ca="1" si="129"/>
        <v>205.42291412144479</v>
      </c>
      <c r="J316" s="359">
        <f t="shared" ca="1" si="130"/>
        <v>74.415530717212903</v>
      </c>
      <c r="K316" s="360">
        <f t="shared" ca="1" si="131"/>
        <v>335.10277848290946</v>
      </c>
      <c r="L316" s="357">
        <f t="shared" ca="1" si="116"/>
        <v>343.26599505178245</v>
      </c>
      <c r="M316" s="359">
        <f t="shared" ca="1" si="132"/>
        <v>1.3369924109933033</v>
      </c>
      <c r="N316" s="357">
        <f t="shared" ca="1" si="133"/>
        <v>76.604022390936649</v>
      </c>
      <c r="O316" s="343"/>
      <c r="P316" s="363">
        <f t="shared" ca="1" si="134"/>
        <v>10</v>
      </c>
      <c r="Q316" s="357">
        <f t="shared" ca="1" si="135"/>
        <v>725.22857142857447</v>
      </c>
      <c r="R316" s="359">
        <f t="shared" ca="1" si="136"/>
        <v>0.36329038794053592</v>
      </c>
      <c r="S316" s="360">
        <f t="shared" ca="1" si="137"/>
        <v>11.054102996368474</v>
      </c>
      <c r="T316" s="357">
        <f t="shared" ca="1" si="117"/>
        <v>108.44075039437473</v>
      </c>
      <c r="U316" s="364">
        <f t="shared" ca="1" si="118"/>
        <v>0</v>
      </c>
      <c r="V316" s="359">
        <f t="shared" ca="1" si="119"/>
        <v>1.1846263753261259</v>
      </c>
      <c r="W316" s="357">
        <f t="shared" ca="1" si="120"/>
        <v>114.1508926949881</v>
      </c>
      <c r="X316" s="343"/>
      <c r="Y316" s="367" t="str">
        <f t="shared" ca="1" si="138"/>
        <v/>
      </c>
      <c r="Z316" s="368" t="str">
        <f t="shared" ca="1" si="139"/>
        <v/>
      </c>
      <c r="AA316" s="369" t="str">
        <f t="shared" ca="1" si="140"/>
        <v/>
      </c>
      <c r="AB316" s="344"/>
      <c r="AC316" s="363" t="e">
        <f t="shared" ca="1" si="141"/>
        <v>#N/A</v>
      </c>
      <c r="AD316" s="376" t="e">
        <f t="shared" ca="1" si="142"/>
        <v>#N/A</v>
      </c>
      <c r="AE316" s="377">
        <f t="shared" ca="1" si="121"/>
        <v>335.10277848290946</v>
      </c>
      <c r="AF316" s="344"/>
      <c r="AG316" s="359">
        <f t="shared" ca="1" si="143"/>
        <v>45.781202940794728</v>
      </c>
      <c r="AH316" s="357">
        <f t="shared" ca="1" si="144"/>
        <v>55.324545169978883</v>
      </c>
    </row>
    <row r="317" spans="1:34" x14ac:dyDescent="0.25">
      <c r="A317" s="402">
        <f t="shared" ca="1" si="122"/>
        <v>0.01</v>
      </c>
      <c r="B317" s="357">
        <f t="shared" ca="1" si="123"/>
        <v>3.1299999999999772</v>
      </c>
      <c r="C317" s="342"/>
      <c r="D317" s="359">
        <f t="shared" ca="1" si="124"/>
        <v>12.783441665080337</v>
      </c>
      <c r="E317" s="360">
        <f t="shared" ca="1" si="125"/>
        <v>43.865986560640629</v>
      </c>
      <c r="F317" s="357">
        <f t="shared" ca="1" si="126"/>
        <v>45.690711941737305</v>
      </c>
      <c r="G317" s="359">
        <f t="shared" ca="1" si="127"/>
        <v>47.720135086204905</v>
      </c>
      <c r="H317" s="360">
        <f t="shared" ca="1" si="128"/>
        <v>200.27245721511693</v>
      </c>
      <c r="I317" s="357">
        <f t="shared" ca="1" si="129"/>
        <v>205.87925687554463</v>
      </c>
      <c r="J317" s="359">
        <f t="shared" ca="1" si="130"/>
        <v>74.892092895991695</v>
      </c>
      <c r="K317" s="360">
        <f t="shared" ca="1" si="131"/>
        <v>337.1033097557326</v>
      </c>
      <c r="L317" s="357">
        <f t="shared" ca="1" si="116"/>
        <v>345.32226546605887</v>
      </c>
      <c r="M317" s="359">
        <f t="shared" ca="1" si="132"/>
        <v>1.3368820173084242</v>
      </c>
      <c r="N317" s="357">
        <f t="shared" ca="1" si="133"/>
        <v>76.597697298708169</v>
      </c>
      <c r="O317" s="343"/>
      <c r="P317" s="363">
        <f t="shared" ca="1" si="134"/>
        <v>10</v>
      </c>
      <c r="Q317" s="357">
        <f t="shared" ca="1" si="135"/>
        <v>723.88571428571731</v>
      </c>
      <c r="R317" s="359">
        <f t="shared" ca="1" si="136"/>
        <v>0.36261770747592553</v>
      </c>
      <c r="S317" s="360">
        <f t="shared" ca="1" si="137"/>
        <v>11.050476819293715</v>
      </c>
      <c r="T317" s="357">
        <f t="shared" ca="1" si="117"/>
        <v>108.40517759727135</v>
      </c>
      <c r="U317" s="364">
        <f t="shared" ca="1" si="118"/>
        <v>0</v>
      </c>
      <c r="V317" s="359">
        <f t="shared" ca="1" si="119"/>
        <v>1.1843893438843203</v>
      </c>
      <c r="W317" s="357">
        <f t="shared" ca="1" si="120"/>
        <v>114.63568171908048</v>
      </c>
      <c r="X317" s="343"/>
      <c r="Y317" s="367" t="str">
        <f t="shared" ca="1" si="138"/>
        <v/>
      </c>
      <c r="Z317" s="368" t="str">
        <f t="shared" ca="1" si="139"/>
        <v/>
      </c>
      <c r="AA317" s="369" t="str">
        <f t="shared" ca="1" si="140"/>
        <v/>
      </c>
      <c r="AB317" s="344"/>
      <c r="AC317" s="363" t="e">
        <f t="shared" ca="1" si="141"/>
        <v>#N/A</v>
      </c>
      <c r="AD317" s="376" t="e">
        <f t="shared" ca="1" si="142"/>
        <v>#N/A</v>
      </c>
      <c r="AE317" s="377">
        <f t="shared" ca="1" si="121"/>
        <v>337.1033097557326</v>
      </c>
      <c r="AF317" s="344"/>
      <c r="AG317" s="359">
        <f t="shared" ca="1" si="143"/>
        <v>45.634149959870548</v>
      </c>
      <c r="AH317" s="357">
        <f t="shared" ca="1" si="144"/>
        <v>55.177240906578369</v>
      </c>
    </row>
    <row r="318" spans="1:34" x14ac:dyDescent="0.25">
      <c r="A318" s="402">
        <f t="shared" ca="1" si="122"/>
        <v>0.01</v>
      </c>
      <c r="B318" s="357">
        <f t="shared" ca="1" si="123"/>
        <v>3.139999999999977</v>
      </c>
      <c r="C318" s="342"/>
      <c r="D318" s="359">
        <f t="shared" ca="1" si="124"/>
        <v>12.755209476514098</v>
      </c>
      <c r="E318" s="360">
        <f t="shared" ca="1" si="125"/>
        <v>43.721221978738505</v>
      </c>
      <c r="F318" s="357">
        <f t="shared" ca="1" si="126"/>
        <v>45.543831855739612</v>
      </c>
      <c r="G318" s="359">
        <f t="shared" ca="1" si="127"/>
        <v>47.847687180970048</v>
      </c>
      <c r="H318" s="360">
        <f t="shared" ca="1" si="128"/>
        <v>200.70966943490433</v>
      </c>
      <c r="I318" s="357">
        <f t="shared" ca="1" si="129"/>
        <v>206.33412847426996</v>
      </c>
      <c r="J318" s="359">
        <f t="shared" ca="1" si="130"/>
        <v>75.369932007327563</v>
      </c>
      <c r="K318" s="360">
        <f t="shared" ca="1" si="131"/>
        <v>339.10822038898272</v>
      </c>
      <c r="L318" s="357">
        <f t="shared" ca="1" si="116"/>
        <v>347.3830908178636</v>
      </c>
      <c r="M318" s="359">
        <f t="shared" ca="1" si="132"/>
        <v>1.3367718159335673</v>
      </c>
      <c r="N318" s="357">
        <f t="shared" ca="1" si="133"/>
        <v>76.591383225032345</v>
      </c>
      <c r="O318" s="343"/>
      <c r="P318" s="363">
        <f t="shared" ca="1" si="134"/>
        <v>10</v>
      </c>
      <c r="Q318" s="357">
        <f t="shared" ca="1" si="135"/>
        <v>722.54285714286027</v>
      </c>
      <c r="R318" s="359">
        <f t="shared" ca="1" si="136"/>
        <v>0.36194502701131526</v>
      </c>
      <c r="S318" s="360">
        <f t="shared" ca="1" si="137"/>
        <v>11.046857369023602</v>
      </c>
      <c r="T318" s="357">
        <f t="shared" ca="1" si="117"/>
        <v>108.36967079012155</v>
      </c>
      <c r="U318" s="364">
        <f t="shared" ca="1" si="118"/>
        <v>0</v>
      </c>
      <c r="V318" s="359">
        <f t="shared" ca="1" si="119"/>
        <v>1.1841518403387936</v>
      </c>
      <c r="W318" s="357">
        <f t="shared" ca="1" si="120"/>
        <v>115.11970626916457</v>
      </c>
      <c r="X318" s="343"/>
      <c r="Y318" s="367" t="str">
        <f t="shared" ca="1" si="138"/>
        <v/>
      </c>
      <c r="Z318" s="368" t="str">
        <f t="shared" ca="1" si="139"/>
        <v/>
      </c>
      <c r="AA318" s="369" t="str">
        <f t="shared" ca="1" si="140"/>
        <v/>
      </c>
      <c r="AB318" s="344"/>
      <c r="AC318" s="363" t="e">
        <f t="shared" ca="1" si="141"/>
        <v>#N/A</v>
      </c>
      <c r="AD318" s="376" t="e">
        <f t="shared" ca="1" si="142"/>
        <v>#N/A</v>
      </c>
      <c r="AE318" s="377">
        <f t="shared" ca="1" si="121"/>
        <v>339.10822038898272</v>
      </c>
      <c r="AF318" s="344"/>
      <c r="AG318" s="359">
        <f t="shared" ca="1" si="143"/>
        <v>45.487034582909629</v>
      </c>
      <c r="AH318" s="357">
        <f t="shared" ca="1" si="144"/>
        <v>55.029874571242956</v>
      </c>
    </row>
    <row r="319" spans="1:34" x14ac:dyDescent="0.25">
      <c r="A319" s="402">
        <f t="shared" ca="1" si="122"/>
        <v>0.01</v>
      </c>
      <c r="B319" s="357">
        <f t="shared" ca="1" si="123"/>
        <v>3.1499999999999768</v>
      </c>
      <c r="C319" s="342"/>
      <c r="D319" s="359">
        <f t="shared" ca="1" si="124"/>
        <v>12.726921114973857</v>
      </c>
      <c r="E319" s="360">
        <f t="shared" ca="1" si="125"/>
        <v>43.576407586414071</v>
      </c>
      <c r="F319" s="357">
        <f t="shared" ca="1" si="126"/>
        <v>45.396892175611022</v>
      </c>
      <c r="G319" s="359">
        <f t="shared" ca="1" si="127"/>
        <v>47.974956392119786</v>
      </c>
      <c r="H319" s="360">
        <f t="shared" ca="1" si="128"/>
        <v>201.14543351076847</v>
      </c>
      <c r="I319" s="357">
        <f t="shared" ca="1" si="129"/>
        <v>206.78752830637725</v>
      </c>
      <c r="J319" s="359">
        <f t="shared" ca="1" si="130"/>
        <v>75.849045225193009</v>
      </c>
      <c r="K319" s="360">
        <f t="shared" ca="1" si="131"/>
        <v>341.11749590371107</v>
      </c>
      <c r="L319" s="357">
        <f t="shared" ca="1" si="116"/>
        <v>349.44845638976818</v>
      </c>
      <c r="M319" s="359">
        <f t="shared" ca="1" si="132"/>
        <v>1.3366618053298007</v>
      </c>
      <c r="N319" s="357">
        <f t="shared" ca="1" si="133"/>
        <v>76.58508008173483</v>
      </c>
      <c r="O319" s="343"/>
      <c r="P319" s="363">
        <f t="shared" ca="1" si="134"/>
        <v>10</v>
      </c>
      <c r="Q319" s="357">
        <f t="shared" ca="1" si="135"/>
        <v>721.20000000000312</v>
      </c>
      <c r="R319" s="359">
        <f t="shared" ca="1" si="136"/>
        <v>0.36127234654670487</v>
      </c>
      <c r="S319" s="360">
        <f t="shared" ca="1" si="137"/>
        <v>11.043244645558135</v>
      </c>
      <c r="T319" s="357">
        <f t="shared" ca="1" si="117"/>
        <v>108.3342299729253</v>
      </c>
      <c r="U319" s="364">
        <f t="shared" ca="1" si="118"/>
        <v>0</v>
      </c>
      <c r="V319" s="359">
        <f t="shared" ca="1" si="119"/>
        <v>1.1839138666972258</v>
      </c>
      <c r="W319" s="357">
        <f t="shared" ca="1" si="120"/>
        <v>115.60295470683239</v>
      </c>
      <c r="X319" s="343"/>
      <c r="Y319" s="367" t="str">
        <f t="shared" ca="1" si="138"/>
        <v/>
      </c>
      <c r="Z319" s="368" t="str">
        <f t="shared" ca="1" si="139"/>
        <v/>
      </c>
      <c r="AA319" s="369" t="str">
        <f t="shared" ca="1" si="140"/>
        <v/>
      </c>
      <c r="AB319" s="344"/>
      <c r="AC319" s="363" t="e">
        <f t="shared" ca="1" si="141"/>
        <v>#N/A</v>
      </c>
      <c r="AD319" s="376" t="e">
        <f t="shared" ca="1" si="142"/>
        <v>#N/A</v>
      </c>
      <c r="AE319" s="377">
        <f t="shared" ca="1" si="121"/>
        <v>341.11749590371107</v>
      </c>
      <c r="AF319" s="344"/>
      <c r="AG319" s="359">
        <f t="shared" ca="1" si="143"/>
        <v>45.339858080155537</v>
      </c>
      <c r="AH319" s="357">
        <f t="shared" ca="1" si="144"/>
        <v>54.882447431300818</v>
      </c>
    </row>
    <row r="320" spans="1:34" x14ac:dyDescent="0.25">
      <c r="A320" s="402">
        <f t="shared" ca="1" si="122"/>
        <v>0.01</v>
      </c>
      <c r="B320" s="357">
        <f t="shared" ca="1" si="123"/>
        <v>3.1599999999999766</v>
      </c>
      <c r="C320" s="342"/>
      <c r="D320" s="359">
        <f t="shared" ca="1" si="124"/>
        <v>12.698577020820361</v>
      </c>
      <c r="E320" s="360">
        <f t="shared" ca="1" si="125"/>
        <v>43.431544587257804</v>
      </c>
      <c r="F320" s="357">
        <f t="shared" ca="1" si="126"/>
        <v>45.249894183176487</v>
      </c>
      <c r="G320" s="359">
        <f t="shared" ca="1" si="127"/>
        <v>48.101942162327987</v>
      </c>
      <c r="H320" s="360">
        <f t="shared" ca="1" si="128"/>
        <v>201.57974895664105</v>
      </c>
      <c r="I320" s="357">
        <f t="shared" ca="1" si="129"/>
        <v>207.23945577329229</v>
      </c>
      <c r="J320" s="359">
        <f t="shared" ca="1" si="130"/>
        <v>76.329429717965255</v>
      </c>
      <c r="K320" s="360">
        <f t="shared" ca="1" si="131"/>
        <v>343.13112181604811</v>
      </c>
      <c r="L320" s="357">
        <f t="shared" ca="1" si="116"/>
        <v>351.51834745829336</v>
      </c>
      <c r="M320" s="359">
        <f t="shared" ca="1" si="132"/>
        <v>1.3365519839713251</v>
      </c>
      <c r="N320" s="357">
        <f t="shared" ca="1" si="133"/>
        <v>76.578787781393785</v>
      </c>
      <c r="O320" s="343"/>
      <c r="P320" s="363">
        <f t="shared" ca="1" si="134"/>
        <v>10</v>
      </c>
      <c r="Q320" s="357">
        <f t="shared" ca="1" si="135"/>
        <v>719.85714285714596</v>
      </c>
      <c r="R320" s="359">
        <f t="shared" ca="1" si="136"/>
        <v>0.36059966608209448</v>
      </c>
      <c r="S320" s="360">
        <f t="shared" ca="1" si="137"/>
        <v>11.039638648897313</v>
      </c>
      <c r="T320" s="357">
        <f t="shared" ca="1" si="117"/>
        <v>108.29885514568265</v>
      </c>
      <c r="U320" s="364">
        <f t="shared" ca="1" si="118"/>
        <v>0</v>
      </c>
      <c r="V320" s="359">
        <f t="shared" ca="1" si="119"/>
        <v>1.1836754249670163</v>
      </c>
      <c r="W320" s="357">
        <f t="shared" ca="1" si="120"/>
        <v>116.08541545092802</v>
      </c>
      <c r="X320" s="343"/>
      <c r="Y320" s="367" t="str">
        <f t="shared" ca="1" si="138"/>
        <v/>
      </c>
      <c r="Z320" s="368" t="str">
        <f t="shared" ca="1" si="139"/>
        <v/>
      </c>
      <c r="AA320" s="369" t="str">
        <f t="shared" ca="1" si="140"/>
        <v/>
      </c>
      <c r="AB320" s="344"/>
      <c r="AC320" s="363" t="e">
        <f t="shared" ca="1" si="141"/>
        <v>#N/A</v>
      </c>
      <c r="AD320" s="376" t="e">
        <f t="shared" ca="1" si="142"/>
        <v>#N/A</v>
      </c>
      <c r="AE320" s="377">
        <f t="shared" ca="1" si="121"/>
        <v>343.13112181604811</v>
      </c>
      <c r="AF320" s="344"/>
      <c r="AG320" s="359">
        <f t="shared" ca="1" si="143"/>
        <v>45.192621718540401</v>
      </c>
      <c r="AH320" s="357">
        <f t="shared" ca="1" si="144"/>
        <v>54.734960750791338</v>
      </c>
    </row>
    <row r="321" spans="1:34" x14ac:dyDescent="0.25">
      <c r="A321" s="402">
        <f t="shared" ca="1" si="122"/>
        <v>0.01</v>
      </c>
      <c r="B321" s="357">
        <f t="shared" ca="1" si="123"/>
        <v>3.1699999999999764</v>
      </c>
      <c r="C321" s="342"/>
      <c r="D321" s="359">
        <f t="shared" ca="1" si="124"/>
        <v>12.670177632656033</v>
      </c>
      <c r="E321" s="360">
        <f t="shared" ca="1" si="125"/>
        <v>43.286634181792095</v>
      </c>
      <c r="F321" s="357">
        <f t="shared" ca="1" si="126"/>
        <v>45.102839157101286</v>
      </c>
      <c r="G321" s="359">
        <f t="shared" ca="1" si="127"/>
        <v>48.22864393865455</v>
      </c>
      <c r="H321" s="360">
        <f t="shared" ca="1" si="128"/>
        <v>202.01261529845897</v>
      </c>
      <c r="I321" s="357">
        <f t="shared" ca="1" si="129"/>
        <v>207.68991028907664</v>
      </c>
      <c r="J321" s="359">
        <f t="shared" ca="1" si="130"/>
        <v>76.811082648470162</v>
      </c>
      <c r="K321" s="360">
        <f t="shared" ca="1" si="131"/>
        <v>345.1490836373236</v>
      </c>
      <c r="L321" s="357">
        <f t="shared" ca="1" si="116"/>
        <v>353.59274929403506</v>
      </c>
      <c r="M321" s="359">
        <f t="shared" ca="1" si="132"/>
        <v>1.3364423503453102</v>
      </c>
      <c r="N321" s="357">
        <f t="shared" ca="1" si="133"/>
        <v>76.572506237330416</v>
      </c>
      <c r="O321" s="343"/>
      <c r="P321" s="363">
        <f t="shared" ca="1" si="134"/>
        <v>10</v>
      </c>
      <c r="Q321" s="357">
        <f t="shared" ca="1" si="135"/>
        <v>718.51428571428892</v>
      </c>
      <c r="R321" s="359">
        <f t="shared" ca="1" si="136"/>
        <v>0.35992698561748415</v>
      </c>
      <c r="S321" s="360">
        <f t="shared" ca="1" si="137"/>
        <v>11.036039379041139</v>
      </c>
      <c r="T321" s="357">
        <f t="shared" ca="1" si="117"/>
        <v>108.26354630839357</v>
      </c>
      <c r="U321" s="364">
        <f t="shared" ca="1" si="118"/>
        <v>0</v>
      </c>
      <c r="V321" s="359">
        <f t="shared" ca="1" si="119"/>
        <v>1.1834365171552599</v>
      </c>
      <c r="W321" s="357">
        <f t="shared" ca="1" si="120"/>
        <v>116.56707697770243</v>
      </c>
      <c r="X321" s="343"/>
      <c r="Y321" s="367" t="str">
        <f t="shared" ca="1" si="138"/>
        <v/>
      </c>
      <c r="Z321" s="368" t="str">
        <f t="shared" ca="1" si="139"/>
        <v/>
      </c>
      <c r="AA321" s="369" t="str">
        <f t="shared" ca="1" si="140"/>
        <v/>
      </c>
      <c r="AB321" s="344"/>
      <c r="AC321" s="363" t="e">
        <f t="shared" ca="1" si="141"/>
        <v>#N/A</v>
      </c>
      <c r="AD321" s="376" t="e">
        <f t="shared" ca="1" si="142"/>
        <v>#N/A</v>
      </c>
      <c r="AE321" s="377">
        <f t="shared" ca="1" si="121"/>
        <v>345.1490836373236</v>
      </c>
      <c r="AF321" s="344"/>
      <c r="AG321" s="359">
        <f t="shared" ca="1" si="143"/>
        <v>45.045326761657648</v>
      </c>
      <c r="AH321" s="357">
        <f t="shared" ca="1" si="144"/>
        <v>54.587415790437547</v>
      </c>
    </row>
    <row r="322" spans="1:34" x14ac:dyDescent="0.25">
      <c r="A322" s="402">
        <f t="shared" ca="1" si="122"/>
        <v>0.01</v>
      </c>
      <c r="B322" s="357">
        <f t="shared" ca="1" si="123"/>
        <v>3.1799999999999762</v>
      </c>
      <c r="C322" s="342"/>
      <c r="D322" s="359">
        <f t="shared" ca="1" si="124"/>
        <v>12.641723387332004</v>
      </c>
      <c r="E322" s="360">
        <f t="shared" ca="1" si="125"/>
        <v>43.141677567442599</v>
      </c>
      <c r="F322" s="357">
        <f t="shared" ca="1" si="126"/>
        <v>44.955728372866979</v>
      </c>
      <c r="G322" s="359">
        <f t="shared" ca="1" si="127"/>
        <v>48.355061172527869</v>
      </c>
      <c r="H322" s="360">
        <f t="shared" ca="1" si="128"/>
        <v>202.44403207413339</v>
      </c>
      <c r="I322" s="357">
        <f t="shared" ca="1" si="129"/>
        <v>208.13889128039395</v>
      </c>
      <c r="J322" s="359">
        <f t="shared" ca="1" si="130"/>
        <v>77.294001174026079</v>
      </c>
      <c r="K322" s="360">
        <f t="shared" ca="1" si="131"/>
        <v>347.17136687418656</v>
      </c>
      <c r="L322" s="357">
        <f t="shared" ca="1" si="116"/>
        <v>355.67164716179076</v>
      </c>
      <c r="M322" s="359">
        <f t="shared" ca="1" si="132"/>
        <v>1.3363329029517321</v>
      </c>
      <c r="N322" s="357">
        <f t="shared" ca="1" si="133"/>
        <v>76.566235363599688</v>
      </c>
      <c r="O322" s="343"/>
      <c r="P322" s="363">
        <f t="shared" ca="1" si="134"/>
        <v>10</v>
      </c>
      <c r="Q322" s="357">
        <f t="shared" ca="1" si="135"/>
        <v>717.17142857143176</v>
      </c>
      <c r="R322" s="359">
        <f t="shared" ca="1" si="136"/>
        <v>0.35925430515287377</v>
      </c>
      <c r="S322" s="360">
        <f t="shared" ca="1" si="137"/>
        <v>11.03244683598961</v>
      </c>
      <c r="T322" s="357">
        <f t="shared" ca="1" si="117"/>
        <v>108.22830346105808</v>
      </c>
      <c r="U322" s="364">
        <f t="shared" ca="1" si="118"/>
        <v>0</v>
      </c>
      <c r="V322" s="359">
        <f t="shared" ca="1" si="119"/>
        <v>1.1831971452687271</v>
      </c>
      <c r="W322" s="357">
        <f t="shared" ca="1" si="120"/>
        <v>117.04792782096622</v>
      </c>
      <c r="X322" s="343"/>
      <c r="Y322" s="367" t="str">
        <f t="shared" ca="1" si="138"/>
        <v/>
      </c>
      <c r="Z322" s="368" t="str">
        <f t="shared" ca="1" si="139"/>
        <v/>
      </c>
      <c r="AA322" s="369" t="str">
        <f t="shared" ca="1" si="140"/>
        <v/>
      </c>
      <c r="AB322" s="344"/>
      <c r="AC322" s="363" t="e">
        <f t="shared" ca="1" si="141"/>
        <v>#N/A</v>
      </c>
      <c r="AD322" s="376" t="e">
        <f t="shared" ca="1" si="142"/>
        <v>#N/A</v>
      </c>
      <c r="AE322" s="377">
        <f t="shared" ca="1" si="121"/>
        <v>347.17136687418656</v>
      </c>
      <c r="AF322" s="344"/>
      <c r="AG322" s="359">
        <f t="shared" ca="1" si="143"/>
        <v>44.897974469735104</v>
      </c>
      <c r="AH322" s="357">
        <f t="shared" ca="1" si="144"/>
        <v>54.439813807618968</v>
      </c>
    </row>
    <row r="323" spans="1:34" x14ac:dyDescent="0.25">
      <c r="A323" s="402">
        <f t="shared" ca="1" si="122"/>
        <v>0.01</v>
      </c>
      <c r="B323" s="357">
        <f t="shared" ca="1" si="123"/>
        <v>3.189999999999976</v>
      </c>
      <c r="C323" s="342"/>
      <c r="D323" s="359">
        <f t="shared" ca="1" si="124"/>
        <v>12.613214719954977</v>
      </c>
      <c r="E323" s="360">
        <f t="shared" ca="1" si="125"/>
        <v>42.996675938509796</v>
      </c>
      <c r="F323" s="357">
        <f t="shared" ca="1" si="126"/>
        <v>44.808563102747627</v>
      </c>
      <c r="G323" s="359">
        <f t="shared" ca="1" si="127"/>
        <v>48.481193319727417</v>
      </c>
      <c r="H323" s="360">
        <f t="shared" ca="1" si="128"/>
        <v>202.8739988335185</v>
      </c>
      <c r="I323" s="357">
        <f t="shared" ca="1" si="129"/>
        <v>208.58639818647632</v>
      </c>
      <c r="J323" s="359">
        <f t="shared" ca="1" si="130"/>
        <v>77.778182446487349</v>
      </c>
      <c r="K323" s="360">
        <f t="shared" ca="1" si="131"/>
        <v>349.19795702872483</v>
      </c>
      <c r="L323" s="357">
        <f t="shared" ca="1" si="116"/>
        <v>357.75502632068532</v>
      </c>
      <c r="M323" s="359">
        <f t="shared" ca="1" si="132"/>
        <v>1.3362236403032137</v>
      </c>
      <c r="N323" s="357">
        <f t="shared" ca="1" si="133"/>
        <v>76.559975074981153</v>
      </c>
      <c r="O323" s="343"/>
      <c r="P323" s="363">
        <f t="shared" ca="1" si="134"/>
        <v>10</v>
      </c>
      <c r="Q323" s="357">
        <f t="shared" ca="1" si="135"/>
        <v>715.82857142857461</v>
      </c>
      <c r="R323" s="359">
        <f t="shared" ca="1" si="136"/>
        <v>0.35858162468826338</v>
      </c>
      <c r="S323" s="360">
        <f t="shared" ca="1" si="137"/>
        <v>11.028861019742727</v>
      </c>
      <c r="T323" s="357">
        <f t="shared" ca="1" si="117"/>
        <v>108.19312660367616</v>
      </c>
      <c r="U323" s="364">
        <f t="shared" ca="1" si="118"/>
        <v>0</v>
      </c>
      <c r="V323" s="359">
        <f t="shared" ca="1" si="119"/>
        <v>1.1829573113138414</v>
      </c>
      <c r="W323" s="357">
        <f t="shared" ca="1" si="120"/>
        <v>117.52795657223911</v>
      </c>
      <c r="X323" s="343"/>
      <c r="Y323" s="367" t="str">
        <f t="shared" ca="1" si="138"/>
        <v/>
      </c>
      <c r="Z323" s="368" t="str">
        <f t="shared" ca="1" si="139"/>
        <v/>
      </c>
      <c r="AA323" s="369" t="str">
        <f t="shared" ca="1" si="140"/>
        <v/>
      </c>
      <c r="AB323" s="344"/>
      <c r="AC323" s="363" t="e">
        <f t="shared" ca="1" si="141"/>
        <v>#N/A</v>
      </c>
      <c r="AD323" s="376" t="e">
        <f t="shared" ca="1" si="142"/>
        <v>#N/A</v>
      </c>
      <c r="AE323" s="377">
        <f t="shared" ca="1" si="121"/>
        <v>349.19795702872483</v>
      </c>
      <c r="AF323" s="344"/>
      <c r="AG323" s="359">
        <f t="shared" ca="1" si="143"/>
        <v>44.750566099608271</v>
      </c>
      <c r="AH323" s="357">
        <f t="shared" ca="1" si="144"/>
        <v>54.292156056344631</v>
      </c>
    </row>
    <row r="324" spans="1:34" x14ac:dyDescent="0.25">
      <c r="A324" s="402">
        <f t="shared" ca="1" si="122"/>
        <v>0.01</v>
      </c>
      <c r="B324" s="357">
        <f t="shared" ca="1" si="123"/>
        <v>3.1999999999999758</v>
      </c>
      <c r="C324" s="342"/>
      <c r="D324" s="359">
        <f t="shared" ca="1" si="124"/>
        <v>12.58465206389393</v>
      </c>
      <c r="E324" s="360">
        <f t="shared" ca="1" si="125"/>
        <v>42.851630486141005</v>
      </c>
      <c r="F324" s="357">
        <f t="shared" ca="1" si="126"/>
        <v>44.661344615786469</v>
      </c>
      <c r="G324" s="359">
        <f t="shared" ca="1" si="127"/>
        <v>48.607039840366355</v>
      </c>
      <c r="H324" s="360">
        <f t="shared" ca="1" si="128"/>
        <v>203.3025151383799</v>
      </c>
      <c r="I324" s="357">
        <f t="shared" ca="1" si="129"/>
        <v>209.03243045908965</v>
      </c>
      <c r="J324" s="359">
        <f t="shared" ca="1" si="130"/>
        <v>78.263623612287816</v>
      </c>
      <c r="K324" s="360">
        <f t="shared" ca="1" si="131"/>
        <v>351.22883959858433</v>
      </c>
      <c r="L324" s="357">
        <f t="shared" ref="L324:L387" ca="1" si="145">SQRT(pos_x^2+pos_z^2)</f>
        <v>359.84287202429607</v>
      </c>
      <c r="M324" s="359">
        <f t="shared" ca="1" si="132"/>
        <v>1.3361145609248686</v>
      </c>
      <c r="N324" s="357">
        <f t="shared" ca="1" si="133"/>
        <v>76.553725286970064</v>
      </c>
      <c r="O324" s="343"/>
      <c r="P324" s="363">
        <f t="shared" ca="1" si="134"/>
        <v>10</v>
      </c>
      <c r="Q324" s="357">
        <f t="shared" ca="1" si="135"/>
        <v>714.48571428571756</v>
      </c>
      <c r="R324" s="359">
        <f t="shared" ca="1" si="136"/>
        <v>0.35790894422365305</v>
      </c>
      <c r="S324" s="360">
        <f t="shared" ca="1" si="137"/>
        <v>11.025281930300491</v>
      </c>
      <c r="T324" s="357">
        <f t="shared" ref="T324:T387" ca="1" si="146">m*g</f>
        <v>108.15801573624782</v>
      </c>
      <c r="U324" s="364">
        <f t="shared" ref="U324:U387" ca="1" si="147">IF(pos_xz&lt;L_rampe,Poids*COS(Beta),0)</f>
        <v>0</v>
      </c>
      <c r="V324" s="359">
        <f t="shared" ref="V324:V387" ca="1" si="148">Rho_moyen*(20000-Alt_rampe-pos_z)/(20000+Alt_rampe+pos_z)</f>
        <v>1.1827170172966566</v>
      </c>
      <c r="W324" s="357">
        <f t="shared" ref="W324:W387" ca="1" si="149">1/2*Rho*Sref*Cx*vit_xz^2</f>
        <v>118.00715188089528</v>
      </c>
      <c r="X324" s="343"/>
      <c r="Y324" s="367" t="str">
        <f t="shared" ca="1" si="138"/>
        <v/>
      </c>
      <c r="Z324" s="368" t="str">
        <f t="shared" ca="1" si="139"/>
        <v/>
      </c>
      <c r="AA324" s="369" t="str">
        <f t="shared" ca="1" si="140"/>
        <v/>
      </c>
      <c r="AB324" s="344"/>
      <c r="AC324" s="363" t="e">
        <f t="shared" ca="1" si="141"/>
        <v>#N/A</v>
      </c>
      <c r="AD324" s="376" t="e">
        <f t="shared" ca="1" si="142"/>
        <v>#N/A</v>
      </c>
      <c r="AE324" s="377">
        <f t="shared" ref="AE324:AE387" ca="1" si="150">IF(t&lt;T_para, pos_z, NA())</f>
        <v>351.22883959858433</v>
      </c>
      <c r="AF324" s="344"/>
      <c r="AG324" s="359">
        <f t="shared" ca="1" si="143"/>
        <v>44.603102904694019</v>
      </c>
      <c r="AH324" s="357">
        <f t="shared" ca="1" si="144"/>
        <v>54.144443787226457</v>
      </c>
    </row>
    <row r="325" spans="1:34" x14ac:dyDescent="0.25">
      <c r="A325" s="402">
        <f t="shared" ref="A325:A388" ca="1" si="151">IF(B324+0.01&lt;=T_ini+ROUNDUP(Temps_fin_propu,0), 0.01, IF(K324&gt;0, 0.1, 0.0001))</f>
        <v>0.01</v>
      </c>
      <c r="B325" s="357">
        <f t="shared" ref="B325:B388" ca="1" si="152">B324+pas</f>
        <v>3.2099999999999755</v>
      </c>
      <c r="C325" s="342"/>
      <c r="D325" s="359">
        <f t="shared" ref="D325:D388" ca="1" si="153">IF(AND(L324&lt;L_rampe,Poussee&lt;Poids*SIN(M324)),0,(-W324+Poussee)/m*COS(M324)-U324/m*SIN(M324))</f>
        <v>12.556035850786563</v>
      </c>
      <c r="E325" s="360">
        <f t="shared" ref="E325:E388" ca="1" si="154">IF(AND(L324&lt;L_rampe,Poussee&lt;Poids*SIN(M324)),0,(-W324+Poussee)/m*SIN(M324)+U324/m*COS(M324)-Poids/m)</f>
        <v>42.706542398302453</v>
      </c>
      <c r="F325" s="357">
        <f t="shared" ref="F325:F388" ca="1" si="155">SQRT(acc_x^2+acc_z^2)</f>
        <v>44.514074177772613</v>
      </c>
      <c r="G325" s="359">
        <f t="shared" ref="G325:G388" ca="1" si="156">G324+acc_x*pas</f>
        <v>48.732600198874223</v>
      </c>
      <c r="H325" s="360">
        <f t="shared" ref="H325:H388" ca="1" si="157">H324+acc_z*pas</f>
        <v>203.72958056236294</v>
      </c>
      <c r="I325" s="357">
        <f t="shared" ref="I325:I388" ca="1" si="158">SQRT(vit_x^2+vit_z^2)</f>
        <v>209.47698756249969</v>
      </c>
      <c r="J325" s="359">
        <f t="shared" ref="J325:J388" ca="1" si="159">J324+0.5*(vit_x+G324)*pas*(K324&gt;=0)</f>
        <v>78.750321812484017</v>
      </c>
      <c r="K325" s="360">
        <f t="shared" ref="K325:K388" ca="1" si="160">K324+0.5*(vit_z+H324)*pas</f>
        <v>353.26400007708804</v>
      </c>
      <c r="L325" s="357">
        <f t="shared" ca="1" si="145"/>
        <v>361.93516952077846</v>
      </c>
      <c r="M325" s="359">
        <f t="shared" ref="M325:M388" ca="1" si="161">IF(AND(L324&gt;L_rampe,G325&gt;0),ATAN2(G325,H325),$M$4)</f>
        <v>1.3360056633541453</v>
      </c>
      <c r="N325" s="357">
        <f t="shared" ref="N325:N388" ca="1" si="162">DEGREES(Beta)</f>
        <v>76.547485915768391</v>
      </c>
      <c r="O325" s="343"/>
      <c r="P325" s="363">
        <f t="shared" ref="P325:P388" ca="1" si="163">MATCH(t-pas/2-T_ini,CdP_t)</f>
        <v>10</v>
      </c>
      <c r="Q325" s="357">
        <f t="shared" ref="Q325:Q388" ca="1" si="164">(INDEX(CdP,2,i_P+1)-INDEX(CdP,2,i_P+0))/(INDEX(CdP,1,i_P+1)-INDEX(CdP,1,i_P+0))*(t-pas/2-T_ini-INDEX(CdP,1,i_P+0))+INDEX(CdP,2,i_P+0)</f>
        <v>713.14285714286041</v>
      </c>
      <c r="R325" s="359">
        <f t="shared" ref="R325:R388" ca="1" si="165">Poussee/(g*ISP)</f>
        <v>0.35723626375904266</v>
      </c>
      <c r="S325" s="360">
        <f t="shared" ref="S325:S388" ca="1" si="166">S324-Débit*pas</f>
        <v>11.021709567662899</v>
      </c>
      <c r="T325" s="357">
        <f t="shared" ca="1" si="146"/>
        <v>108.12297085877304</v>
      </c>
      <c r="U325" s="364">
        <f t="shared" ca="1" si="147"/>
        <v>0</v>
      </c>
      <c r="V325" s="359">
        <f t="shared" ca="1" si="148"/>
        <v>1.1824762652228367</v>
      </c>
      <c r="W325" s="357">
        <f t="shared" ca="1" si="149"/>
        <v>118.48550245430717</v>
      </c>
      <c r="X325" s="343"/>
      <c r="Y325" s="367" t="str">
        <f t="shared" ref="Y325:Y388" ca="1" si="167">IF(AND(pos_z&lt;=0,K324&gt;0),"Impact balistique","") &amp; IF(AND(H326&lt;0,vit_z&gt;=0),"Apogée","") &amp; IF(AND(Poussee=0,Q324&gt;0),"Fin de propulsion","") &amp; IF(AND(L326&gt;L_rampe,pos_xz&lt;=L_rampe),"Sortie de rampe","")</f>
        <v/>
      </c>
      <c r="Z325" s="368" t="str">
        <f t="shared" ref="Z325:Z388" ca="1" si="168">IF(ABS(t-T_para)&lt;pas/2,"Para","")</f>
        <v/>
      </c>
      <c r="AA325" s="369" t="str">
        <f t="shared" ref="AA325:AA388" ca="1" si="169">IF(ABS(t-T_satellite)&lt;pas/2,"Satellite","")</f>
        <v/>
      </c>
      <c r="AB325" s="344"/>
      <c r="AC325" s="363" t="e">
        <f t="shared" ref="AC325:AC388" ca="1" si="170">IF(ABS(t-ROUND(t,0))&lt;0.001,t,NA())</f>
        <v>#N/A</v>
      </c>
      <c r="AD325" s="376" t="e">
        <f t="shared" ref="AD325:AD388" ca="1" si="171">IF(ABS(t-ROUND(t,0))&lt;0.001,pos_x,NA())</f>
        <v>#N/A</v>
      </c>
      <c r="AE325" s="377">
        <f t="shared" ca="1" si="150"/>
        <v>353.26400007708804</v>
      </c>
      <c r="AF325" s="344"/>
      <c r="AG325" s="359">
        <f t="shared" ref="AG325:AG388" ca="1" si="172">IF(AND(L324&lt;L_rampe,Poussee&lt;Poids*SIN(M324)),0,(-W324+Poussee)/m-Poids*SIN(M324)/m)</f>
        <v>44.455586134964321</v>
      </c>
      <c r="AH325" s="357">
        <f t="shared" ref="AH325:AH388" ca="1" si="173">IF(AND(L324&lt;L_rampe,Poussee&lt;Poids*SIN(M324)), g*SIN(M324), (-W324+Poussee)/m)</f>
        <v>53.996678247452749</v>
      </c>
    </row>
    <row r="326" spans="1:34" x14ac:dyDescent="0.25">
      <c r="A326" s="402">
        <f t="shared" ca="1" si="151"/>
        <v>0.01</v>
      </c>
      <c r="B326" s="357">
        <f t="shared" ca="1" si="152"/>
        <v>3.2199999999999753</v>
      </c>
      <c r="C326" s="342"/>
      <c r="D326" s="359">
        <f t="shared" ca="1" si="153"/>
        <v>12.527366510545715</v>
      </c>
      <c r="E326" s="360">
        <f t="shared" ca="1" si="154"/>
        <v>42.561412859751925</v>
      </c>
      <c r="F326" s="357">
        <f t="shared" ca="1" si="155"/>
        <v>44.366753051218417</v>
      </c>
      <c r="G326" s="359">
        <f t="shared" ca="1" si="156"/>
        <v>48.857873863979684</v>
      </c>
      <c r="H326" s="360">
        <f t="shared" ca="1" si="157"/>
        <v>204.15519469096046</v>
      </c>
      <c r="I326" s="357">
        <f t="shared" ca="1" si="158"/>
        <v>209.92006897343691</v>
      </c>
      <c r="J326" s="359">
        <f t="shared" ca="1" si="159"/>
        <v>79.238274182798293</v>
      </c>
      <c r="K326" s="360">
        <f t="shared" ca="1" si="160"/>
        <v>355.30342395335464</v>
      </c>
      <c r="L326" s="357">
        <f t="shared" ca="1" si="145"/>
        <v>364.0319040529904</v>
      </c>
      <c r="M326" s="359">
        <f t="shared" ca="1" si="161"/>
        <v>1.3358969461406758</v>
      </c>
      <c r="N326" s="357">
        <f t="shared" ca="1" si="162"/>
        <v>76.541256878276172</v>
      </c>
      <c r="O326" s="343"/>
      <c r="P326" s="363">
        <f t="shared" ca="1" si="163"/>
        <v>10</v>
      </c>
      <c r="Q326" s="357">
        <f t="shared" ca="1" si="164"/>
        <v>711.80000000000337</v>
      </c>
      <c r="R326" s="359">
        <f t="shared" ca="1" si="165"/>
        <v>0.35656358329443238</v>
      </c>
      <c r="S326" s="360">
        <f t="shared" ca="1" si="166"/>
        <v>11.018143931829956</v>
      </c>
      <c r="T326" s="357">
        <f t="shared" ca="1" si="146"/>
        <v>108.08799197125187</v>
      </c>
      <c r="U326" s="364">
        <f t="shared" ca="1" si="147"/>
        <v>0</v>
      </c>
      <c r="V326" s="359">
        <f t="shared" ca="1" si="148"/>
        <v>1.182235057097633</v>
      </c>
      <c r="W326" s="357">
        <f t="shared" ca="1" si="149"/>
        <v>118.96299705798452</v>
      </c>
      <c r="X326" s="343"/>
      <c r="Y326" s="367" t="str">
        <f t="shared" ca="1" si="167"/>
        <v/>
      </c>
      <c r="Z326" s="368" t="str">
        <f t="shared" ca="1" si="168"/>
        <v/>
      </c>
      <c r="AA326" s="369" t="str">
        <f t="shared" ca="1" si="169"/>
        <v/>
      </c>
      <c r="AB326" s="344"/>
      <c r="AC326" s="363" t="e">
        <f t="shared" ca="1" si="170"/>
        <v>#N/A</v>
      </c>
      <c r="AD326" s="376" t="e">
        <f t="shared" ca="1" si="171"/>
        <v>#N/A</v>
      </c>
      <c r="AE326" s="377">
        <f t="shared" ca="1" si="150"/>
        <v>355.30342395335464</v>
      </c>
      <c r="AF326" s="344"/>
      <c r="AG326" s="359">
        <f t="shared" ca="1" si="172"/>
        <v>44.308017036920461</v>
      </c>
      <c r="AH326" s="357">
        <f t="shared" ca="1" si="173"/>
        <v>53.848860680762151</v>
      </c>
    </row>
    <row r="327" spans="1:34" x14ac:dyDescent="0.25">
      <c r="A327" s="402">
        <f t="shared" ca="1" si="151"/>
        <v>0.01</v>
      </c>
      <c r="B327" s="357">
        <f t="shared" ca="1" si="152"/>
        <v>3.2299999999999751</v>
      </c>
      <c r="C327" s="342"/>
      <c r="D327" s="359">
        <f t="shared" ca="1" si="153"/>
        <v>12.498644471365512</v>
      </c>
      <c r="E327" s="360">
        <f t="shared" ca="1" si="154"/>
        <v>42.416243052011495</v>
      </c>
      <c r="F327" s="357">
        <f t="shared" ca="1" si="155"/>
        <v>44.219382495336916</v>
      </c>
      <c r="G327" s="359">
        <f t="shared" ca="1" si="156"/>
        <v>48.98286030869334</v>
      </c>
      <c r="H327" s="360">
        <f t="shared" ca="1" si="157"/>
        <v>204.57935712148057</v>
      </c>
      <c r="I327" s="357">
        <f t="shared" ca="1" si="158"/>
        <v>210.36167418106189</v>
      </c>
      <c r="J327" s="359">
        <f t="shared" ca="1" si="159"/>
        <v>79.727477853661654</v>
      </c>
      <c r="K327" s="360">
        <f t="shared" ca="1" si="160"/>
        <v>357.34709671241683</v>
      </c>
      <c r="L327" s="357">
        <f t="shared" ca="1" si="145"/>
        <v>366.13306085861666</v>
      </c>
      <c r="M327" s="359">
        <f t="shared" ca="1" si="161"/>
        <v>1.3357884078461251</v>
      </c>
      <c r="N327" s="357">
        <f t="shared" ca="1" si="162"/>
        <v>76.535038092082871</v>
      </c>
      <c r="O327" s="343"/>
      <c r="P327" s="363">
        <f t="shared" ca="1" si="163"/>
        <v>10</v>
      </c>
      <c r="Q327" s="357">
        <f t="shared" ca="1" si="164"/>
        <v>710.45714285714621</v>
      </c>
      <c r="R327" s="359">
        <f t="shared" ca="1" si="165"/>
        <v>0.355890902829822</v>
      </c>
      <c r="S327" s="360">
        <f t="shared" ca="1" si="166"/>
        <v>11.014585022801658</v>
      </c>
      <c r="T327" s="357">
        <f t="shared" ca="1" si="146"/>
        <v>108.05307907368427</v>
      </c>
      <c r="U327" s="364">
        <f t="shared" ca="1" si="147"/>
        <v>0</v>
      </c>
      <c r="V327" s="359">
        <f t="shared" ca="1" si="148"/>
        <v>1.1819933949258641</v>
      </c>
      <c r="W327" s="357">
        <f t="shared" ca="1" si="149"/>
        <v>119.43962451571163</v>
      </c>
      <c r="X327" s="343"/>
      <c r="Y327" s="367" t="str">
        <f t="shared" ca="1" si="167"/>
        <v/>
      </c>
      <c r="Z327" s="368" t="str">
        <f t="shared" ca="1" si="168"/>
        <v/>
      </c>
      <c r="AA327" s="369" t="str">
        <f t="shared" ca="1" si="169"/>
        <v/>
      </c>
      <c r="AB327" s="344"/>
      <c r="AC327" s="363" t="e">
        <f t="shared" ca="1" si="170"/>
        <v>#N/A</v>
      </c>
      <c r="AD327" s="376" t="e">
        <f t="shared" ca="1" si="171"/>
        <v>#N/A</v>
      </c>
      <c r="AE327" s="377">
        <f t="shared" ca="1" si="150"/>
        <v>357.34709671241683</v>
      </c>
      <c r="AF327" s="344"/>
      <c r="AG327" s="359">
        <f t="shared" ca="1" si="172"/>
        <v>44.160396853567363</v>
      </c>
      <c r="AH327" s="357">
        <f t="shared" ca="1" si="173"/>
        <v>53.700992327417701</v>
      </c>
    </row>
    <row r="328" spans="1:34" x14ac:dyDescent="0.25">
      <c r="A328" s="402">
        <f t="shared" ca="1" si="151"/>
        <v>0.01</v>
      </c>
      <c r="B328" s="357">
        <f t="shared" ca="1" si="152"/>
        <v>3.2399999999999749</v>
      </c>
      <c r="C328" s="342"/>
      <c r="D328" s="359">
        <f t="shared" ca="1" si="153"/>
        <v>12.469870159727421</v>
      </c>
      <c r="E328" s="360">
        <f t="shared" ca="1" si="154"/>
        <v>42.271034153340608</v>
      </c>
      <c r="F328" s="357">
        <f t="shared" ca="1" si="155"/>
        <v>44.071963766019643</v>
      </c>
      <c r="G328" s="359">
        <f t="shared" ca="1" si="156"/>
        <v>49.107559010290615</v>
      </c>
      <c r="H328" s="360">
        <f t="shared" ca="1" si="157"/>
        <v>205.00206746301399</v>
      </c>
      <c r="I328" s="357">
        <f t="shared" ca="1" si="158"/>
        <v>210.80180268692988</v>
      </c>
      <c r="J328" s="359">
        <f t="shared" ca="1" si="159"/>
        <v>80.217929950256575</v>
      </c>
      <c r="K328" s="360">
        <f t="shared" ca="1" si="160"/>
        <v>359.39500383533931</v>
      </c>
      <c r="L328" s="357">
        <f t="shared" ca="1" si="145"/>
        <v>368.2386251702934</v>
      </c>
      <c r="M328" s="359">
        <f t="shared" ca="1" si="161"/>
        <v>1.3356800470440433</v>
      </c>
      <c r="N328" s="357">
        <f t="shared" ca="1" si="162"/>
        <v>76.528829475458934</v>
      </c>
      <c r="O328" s="343"/>
      <c r="P328" s="363">
        <f t="shared" ca="1" si="163"/>
        <v>10</v>
      </c>
      <c r="Q328" s="357">
        <f t="shared" ca="1" si="164"/>
        <v>709.11428571428905</v>
      </c>
      <c r="R328" s="359">
        <f t="shared" ca="1" si="165"/>
        <v>0.35521822236521161</v>
      </c>
      <c r="S328" s="360">
        <f t="shared" ca="1" si="166"/>
        <v>11.011032840578006</v>
      </c>
      <c r="T328" s="357">
        <f t="shared" ca="1" si="146"/>
        <v>108.01823216607023</v>
      </c>
      <c r="U328" s="364">
        <f t="shared" ca="1" si="147"/>
        <v>0</v>
      </c>
      <c r="V328" s="359">
        <f t="shared" ca="1" si="148"/>
        <v>1.1817512807118922</v>
      </c>
      <c r="W328" s="357">
        <f t="shared" ca="1" si="149"/>
        <v>119.9153737096804</v>
      </c>
      <c r="X328" s="343"/>
      <c r="Y328" s="367" t="str">
        <f t="shared" ca="1" si="167"/>
        <v/>
      </c>
      <c r="Z328" s="368" t="str">
        <f t="shared" ca="1" si="168"/>
        <v/>
      </c>
      <c r="AA328" s="369" t="str">
        <f t="shared" ca="1" si="169"/>
        <v/>
      </c>
      <c r="AB328" s="344"/>
      <c r="AC328" s="363" t="e">
        <f t="shared" ca="1" si="170"/>
        <v>#N/A</v>
      </c>
      <c r="AD328" s="376" t="e">
        <f t="shared" ca="1" si="171"/>
        <v>#N/A</v>
      </c>
      <c r="AE328" s="377">
        <f t="shared" ca="1" si="150"/>
        <v>359.39500383533931</v>
      </c>
      <c r="AF328" s="344"/>
      <c r="AG328" s="359">
        <f t="shared" ca="1" si="172"/>
        <v>44.012726824388245</v>
      </c>
      <c r="AH328" s="357">
        <f t="shared" ca="1" si="173"/>
        <v>53.553074424181212</v>
      </c>
    </row>
    <row r="329" spans="1:34" x14ac:dyDescent="0.25">
      <c r="A329" s="402">
        <f t="shared" ca="1" si="151"/>
        <v>0.01</v>
      </c>
      <c r="B329" s="357">
        <f t="shared" ca="1" si="152"/>
        <v>3.2499999999999747</v>
      </c>
      <c r="C329" s="342"/>
      <c r="D329" s="359">
        <f t="shared" ca="1" si="153"/>
        <v>12.441044000406148</v>
      </c>
      <c r="E329" s="360">
        <f t="shared" ca="1" si="154"/>
        <v>42.125787338709607</v>
      </c>
      <c r="F329" s="357">
        <f t="shared" ca="1" si="155"/>
        <v>43.92449811581492</v>
      </c>
      <c r="G329" s="359">
        <f t="shared" ca="1" si="156"/>
        <v>49.231969450294677</v>
      </c>
      <c r="H329" s="360">
        <f t="shared" ca="1" si="157"/>
        <v>205.42332533640109</v>
      </c>
      <c r="I329" s="357">
        <f t="shared" ca="1" si="158"/>
        <v>211.2404540049553</v>
      </c>
      <c r="J329" s="359">
        <f t="shared" ca="1" si="159"/>
        <v>80.709627592559499</v>
      </c>
      <c r="K329" s="360">
        <f t="shared" ca="1" si="160"/>
        <v>361.44713079933638</v>
      </c>
      <c r="L329" s="357">
        <f t="shared" ca="1" si="145"/>
        <v>370.3485822157312</v>
      </c>
      <c r="M329" s="359">
        <f t="shared" ca="1" si="161"/>
        <v>1.3355718623197206</v>
      </c>
      <c r="N329" s="357">
        <f t="shared" ca="1" si="162"/>
        <v>76.522630947347452</v>
      </c>
      <c r="O329" s="343"/>
      <c r="P329" s="363">
        <f t="shared" ca="1" si="163"/>
        <v>10</v>
      </c>
      <c r="Q329" s="357">
        <f t="shared" ca="1" si="164"/>
        <v>707.77142857143201</v>
      </c>
      <c r="R329" s="359">
        <f t="shared" ca="1" si="165"/>
        <v>0.35454554190060128</v>
      </c>
      <c r="S329" s="360">
        <f t="shared" ca="1" si="166"/>
        <v>11.007487385158999</v>
      </c>
      <c r="T329" s="357">
        <f t="shared" ca="1" si="146"/>
        <v>107.98345124840979</v>
      </c>
      <c r="U329" s="364">
        <f t="shared" ca="1" si="147"/>
        <v>0</v>
      </c>
      <c r="V329" s="359">
        <f t="shared" ca="1" si="148"/>
        <v>1.1815087164596041</v>
      </c>
      <c r="W329" s="357">
        <f t="shared" ca="1" si="149"/>
        <v>120.3902335806209</v>
      </c>
      <c r="X329" s="343"/>
      <c r="Y329" s="367" t="str">
        <f t="shared" ca="1" si="167"/>
        <v/>
      </c>
      <c r="Z329" s="368" t="str">
        <f t="shared" ca="1" si="168"/>
        <v/>
      </c>
      <c r="AA329" s="369" t="str">
        <f t="shared" ca="1" si="169"/>
        <v/>
      </c>
      <c r="AB329" s="344"/>
      <c r="AC329" s="363" t="e">
        <f t="shared" ca="1" si="170"/>
        <v>#N/A</v>
      </c>
      <c r="AD329" s="376" t="e">
        <f t="shared" ca="1" si="171"/>
        <v>#N/A</v>
      </c>
      <c r="AE329" s="377">
        <f t="shared" ca="1" si="150"/>
        <v>361.44713079933638</v>
      </c>
      <c r="AF329" s="344"/>
      <c r="AG329" s="359">
        <f t="shared" ca="1" si="172"/>
        <v>43.865008185319539</v>
      </c>
      <c r="AH329" s="357">
        <f t="shared" ca="1" si="173"/>
        <v>53.405108204288013</v>
      </c>
    </row>
    <row r="330" spans="1:34" x14ac:dyDescent="0.25">
      <c r="A330" s="402">
        <f t="shared" ca="1" si="151"/>
        <v>0.01</v>
      </c>
      <c r="B330" s="357">
        <f t="shared" ca="1" si="152"/>
        <v>3.2599999999999745</v>
      </c>
      <c r="C330" s="342"/>
      <c r="D330" s="359">
        <f t="shared" ca="1" si="153"/>
        <v>12.412620390110481</v>
      </c>
      <c r="E330" s="360">
        <f t="shared" ca="1" si="154"/>
        <v>41.982398011809572</v>
      </c>
      <c r="F330" s="357">
        <f t="shared" ca="1" si="155"/>
        <v>43.778932008112974</v>
      </c>
      <c r="G330" s="359">
        <f t="shared" ca="1" si="156"/>
        <v>49.356095654195784</v>
      </c>
      <c r="H330" s="360">
        <f t="shared" ca="1" si="157"/>
        <v>205.84314931651917</v>
      </c>
      <c r="I330" s="357">
        <f t="shared" ca="1" si="158"/>
        <v>211.67764714010056</v>
      </c>
      <c r="J330" s="359">
        <f t="shared" ca="1" si="159"/>
        <v>81.202567918081954</v>
      </c>
      <c r="K330" s="360">
        <f t="shared" ca="1" si="160"/>
        <v>363.50346317260096</v>
      </c>
      <c r="L330" s="357">
        <f t="shared" ca="1" si="145"/>
        <v>372.46291731522103</v>
      </c>
      <c r="M330" s="359">
        <f t="shared" ca="1" si="161"/>
        <v>1.335463852279982</v>
      </c>
      <c r="N330" s="357">
        <f t="shared" ca="1" si="162"/>
        <v>76.516442427925384</v>
      </c>
      <c r="O330" s="343"/>
      <c r="P330" s="363">
        <f t="shared" ca="1" si="163"/>
        <v>11</v>
      </c>
      <c r="Q330" s="357">
        <f t="shared" ca="1" si="164"/>
        <v>706.45000000000334</v>
      </c>
      <c r="R330" s="359">
        <f t="shared" ca="1" si="165"/>
        <v>0.35388359569872402</v>
      </c>
      <c r="S330" s="360">
        <f t="shared" ca="1" si="166"/>
        <v>11.003948549202011</v>
      </c>
      <c r="T330" s="357">
        <f t="shared" ca="1" si="146"/>
        <v>107.94873526767174</v>
      </c>
      <c r="U330" s="364">
        <f t="shared" ca="1" si="147"/>
        <v>0</v>
      </c>
      <c r="V330" s="359">
        <f t="shared" ca="1" si="148"/>
        <v>1.1812657041611974</v>
      </c>
      <c r="W330" s="357">
        <f t="shared" ca="1" si="149"/>
        <v>120.86421537080102</v>
      </c>
      <c r="X330" s="343"/>
      <c r="Y330" s="367" t="str">
        <f t="shared" ca="1" si="167"/>
        <v/>
      </c>
      <c r="Z330" s="368" t="str">
        <f t="shared" ca="1" si="168"/>
        <v/>
      </c>
      <c r="AA330" s="369" t="str">
        <f t="shared" ca="1" si="169"/>
        <v/>
      </c>
      <c r="AB330" s="344"/>
      <c r="AC330" s="363" t="e">
        <f t="shared" ca="1" si="170"/>
        <v>#N/A</v>
      </c>
      <c r="AD330" s="376" t="e">
        <f t="shared" ca="1" si="171"/>
        <v>#N/A</v>
      </c>
      <c r="AE330" s="377">
        <f t="shared" ca="1" si="150"/>
        <v>363.50346317260096</v>
      </c>
      <c r="AF330" s="344"/>
      <c r="AG330" s="359">
        <f t="shared" ca="1" si="172"/>
        <v>43.719190041172794</v>
      </c>
      <c r="AH330" s="357">
        <f t="shared" ca="1" si="173"/>
        <v>53.259042769868508</v>
      </c>
    </row>
    <row r="331" spans="1:34" x14ac:dyDescent="0.25">
      <c r="A331" s="402">
        <f t="shared" ca="1" si="151"/>
        <v>0.01</v>
      </c>
      <c r="B331" s="357">
        <f t="shared" ca="1" si="152"/>
        <v>3.2699999999999743</v>
      </c>
      <c r="C331" s="342"/>
      <c r="D331" s="359">
        <f t="shared" ca="1" si="153"/>
        <v>12.384600449369442</v>
      </c>
      <c r="E331" s="360">
        <f t="shared" ca="1" si="154"/>
        <v>41.840867552127165</v>
      </c>
      <c r="F331" s="357">
        <f t="shared" ca="1" si="155"/>
        <v>43.635266995919359</v>
      </c>
      <c r="G331" s="359">
        <f t="shared" ca="1" si="156"/>
        <v>49.479941658689476</v>
      </c>
      <c r="H331" s="360">
        <f t="shared" ca="1" si="157"/>
        <v>206.26155799204045</v>
      </c>
      <c r="I331" s="357">
        <f t="shared" ca="1" si="158"/>
        <v>212.11340111329878</v>
      </c>
      <c r="J331" s="359">
        <f t="shared" ca="1" si="159"/>
        <v>81.696748104646375</v>
      </c>
      <c r="K331" s="360">
        <f t="shared" ca="1" si="160"/>
        <v>365.56398670914376</v>
      </c>
      <c r="L331" s="357">
        <f t="shared" ca="1" si="145"/>
        <v>374.58161597915756</v>
      </c>
      <c r="M331" s="359">
        <f t="shared" ca="1" si="161"/>
        <v>1.3353560155529078</v>
      </c>
      <c r="N331" s="357">
        <f t="shared" ca="1" si="162"/>
        <v>76.510263838587534</v>
      </c>
      <c r="O331" s="343"/>
      <c r="P331" s="363">
        <f t="shared" ca="1" si="163"/>
        <v>11</v>
      </c>
      <c r="Q331" s="357">
        <f t="shared" ca="1" si="164"/>
        <v>705.15000000000339</v>
      </c>
      <c r="R331" s="359">
        <f t="shared" ca="1" si="165"/>
        <v>0.35323238375957994</v>
      </c>
      <c r="S331" s="360">
        <f t="shared" ca="1" si="166"/>
        <v>11.000416225364415</v>
      </c>
      <c r="T331" s="357">
        <f t="shared" ca="1" si="146"/>
        <v>107.91408317082491</v>
      </c>
      <c r="U331" s="364">
        <f t="shared" ca="1" si="147"/>
        <v>0</v>
      </c>
      <c r="V331" s="359">
        <f t="shared" ca="1" si="148"/>
        <v>1.1810222457859794</v>
      </c>
      <c r="W331" s="357">
        <f t="shared" ca="1" si="149"/>
        <v>121.33733054795066</v>
      </c>
      <c r="X331" s="343"/>
      <c r="Y331" s="367" t="str">
        <f t="shared" ca="1" si="167"/>
        <v/>
      </c>
      <c r="Z331" s="368" t="str">
        <f t="shared" ca="1" si="168"/>
        <v/>
      </c>
      <c r="AA331" s="369" t="str">
        <f t="shared" ca="1" si="169"/>
        <v/>
      </c>
      <c r="AB331" s="344"/>
      <c r="AC331" s="363" t="e">
        <f t="shared" ca="1" si="170"/>
        <v>#N/A</v>
      </c>
      <c r="AD331" s="376" t="e">
        <f t="shared" ca="1" si="171"/>
        <v>#N/A</v>
      </c>
      <c r="AE331" s="377">
        <f t="shared" ca="1" si="150"/>
        <v>365.56398670914376</v>
      </c>
      <c r="AF331" s="344"/>
      <c r="AG331" s="359">
        <f t="shared" ca="1" si="172"/>
        <v>43.575273989030904</v>
      </c>
      <c r="AH331" s="357">
        <f t="shared" ca="1" si="173"/>
        <v>53.114879715366996</v>
      </c>
    </row>
    <row r="332" spans="1:34" x14ac:dyDescent="0.25">
      <c r="A332" s="402">
        <f t="shared" ca="1" si="151"/>
        <v>0.01</v>
      </c>
      <c r="B332" s="357">
        <f t="shared" ca="1" si="152"/>
        <v>3.279999999999974</v>
      </c>
      <c r="C332" s="342"/>
      <c r="D332" s="359">
        <f t="shared" ca="1" si="153"/>
        <v>12.356530614836407</v>
      </c>
      <c r="E332" s="360">
        <f t="shared" ca="1" si="154"/>
        <v>41.699301962665373</v>
      </c>
      <c r="F332" s="357">
        <f t="shared" ca="1" si="155"/>
        <v>43.491558180972746</v>
      </c>
      <c r="G332" s="359">
        <f t="shared" ca="1" si="156"/>
        <v>49.603506964837841</v>
      </c>
      <c r="H332" s="360">
        <f t="shared" ca="1" si="157"/>
        <v>206.67855101166711</v>
      </c>
      <c r="I332" s="357">
        <f t="shared" ca="1" si="158"/>
        <v>212.54771546994573</v>
      </c>
      <c r="J332" s="359">
        <f t="shared" ca="1" si="159"/>
        <v>82.192165347764018</v>
      </c>
      <c r="K332" s="360">
        <f t="shared" ca="1" si="160"/>
        <v>367.62868725416229</v>
      </c>
      <c r="L332" s="357">
        <f t="shared" ca="1" si="145"/>
        <v>376.70466381075352</v>
      </c>
      <c r="M332" s="359">
        <f t="shared" ca="1" si="161"/>
        <v>1.3352483507776858</v>
      </c>
      <c r="N332" s="357">
        <f t="shared" ca="1" si="162"/>
        <v>76.504095101365081</v>
      </c>
      <c r="O332" s="343"/>
      <c r="P332" s="363">
        <f t="shared" ca="1" si="163"/>
        <v>11</v>
      </c>
      <c r="Q332" s="357">
        <f t="shared" ca="1" si="164"/>
        <v>703.85000000000343</v>
      </c>
      <c r="R332" s="359">
        <f t="shared" ca="1" si="165"/>
        <v>0.35258117182043586</v>
      </c>
      <c r="S332" s="360">
        <f t="shared" ca="1" si="166"/>
        <v>10.996890413646211</v>
      </c>
      <c r="T332" s="357">
        <f t="shared" ca="1" si="146"/>
        <v>107.87949495786934</v>
      </c>
      <c r="U332" s="364">
        <f t="shared" ca="1" si="147"/>
        <v>0</v>
      </c>
      <c r="V332" s="359">
        <f t="shared" ca="1" si="148"/>
        <v>1.1807783432915617</v>
      </c>
      <c r="W332" s="357">
        <f t="shared" ca="1" si="149"/>
        <v>121.80956846389047</v>
      </c>
      <c r="X332" s="343"/>
      <c r="Y332" s="367" t="str">
        <f t="shared" ca="1" si="167"/>
        <v/>
      </c>
      <c r="Z332" s="368" t="str">
        <f t="shared" ca="1" si="168"/>
        <v/>
      </c>
      <c r="AA332" s="369" t="str">
        <f t="shared" ca="1" si="169"/>
        <v/>
      </c>
      <c r="AB332" s="344"/>
      <c r="AC332" s="363" t="e">
        <f t="shared" ca="1" si="170"/>
        <v>#N/A</v>
      </c>
      <c r="AD332" s="376" t="e">
        <f t="shared" ca="1" si="171"/>
        <v>#N/A</v>
      </c>
      <c r="AE332" s="377">
        <f t="shared" ca="1" si="150"/>
        <v>367.62868725416229</v>
      </c>
      <c r="AF332" s="344"/>
      <c r="AG332" s="359">
        <f t="shared" ca="1" si="172"/>
        <v>43.431312475184498</v>
      </c>
      <c r="AH332" s="357">
        <f t="shared" ca="1" si="173"/>
        <v>52.97067148447745</v>
      </c>
    </row>
    <row r="333" spans="1:34" x14ac:dyDescent="0.25">
      <c r="A333" s="402">
        <f t="shared" ca="1" si="151"/>
        <v>0.01</v>
      </c>
      <c r="B333" s="357">
        <f t="shared" ca="1" si="152"/>
        <v>3.2899999999999738</v>
      </c>
      <c r="C333" s="342"/>
      <c r="D333" s="359">
        <f t="shared" ca="1" si="153"/>
        <v>12.328411292626724</v>
      </c>
      <c r="E333" s="360">
        <f t="shared" ca="1" si="154"/>
        <v>41.557702369152331</v>
      </c>
      <c r="F333" s="357">
        <f t="shared" ca="1" si="155"/>
        <v>43.347806763470921</v>
      </c>
      <c r="G333" s="359">
        <f t="shared" ca="1" si="156"/>
        <v>49.726791077764105</v>
      </c>
      <c r="H333" s="360">
        <f t="shared" ca="1" si="157"/>
        <v>207.09412803535864</v>
      </c>
      <c r="I333" s="357">
        <f t="shared" ca="1" si="158"/>
        <v>212.98058976727694</v>
      </c>
      <c r="J333" s="359">
        <f t="shared" ca="1" si="159"/>
        <v>82.688816837977029</v>
      </c>
      <c r="K333" s="360">
        <f t="shared" ca="1" si="160"/>
        <v>369.69755064939744</v>
      </c>
      <c r="L333" s="357">
        <f t="shared" ca="1" si="145"/>
        <v>378.83204640873282</v>
      </c>
      <c r="M333" s="359">
        <f t="shared" ca="1" si="161"/>
        <v>1.3351408566044762</v>
      </c>
      <c r="N333" s="357">
        <f t="shared" ca="1" si="162"/>
        <v>76.497936138917936</v>
      </c>
      <c r="O333" s="343"/>
      <c r="P333" s="363">
        <f t="shared" ca="1" si="163"/>
        <v>11</v>
      </c>
      <c r="Q333" s="357">
        <f t="shared" ca="1" si="164"/>
        <v>702.55000000000337</v>
      </c>
      <c r="R333" s="359">
        <f t="shared" ca="1" si="165"/>
        <v>0.35192995988129178</v>
      </c>
      <c r="S333" s="360">
        <f t="shared" ca="1" si="166"/>
        <v>10.993371114047399</v>
      </c>
      <c r="T333" s="357">
        <f t="shared" ca="1" si="146"/>
        <v>107.84497062880499</v>
      </c>
      <c r="U333" s="364">
        <f t="shared" ca="1" si="147"/>
        <v>0</v>
      </c>
      <c r="V333" s="359">
        <f t="shared" ca="1" si="148"/>
        <v>1.1805339986350387</v>
      </c>
      <c r="W333" s="357">
        <f t="shared" ca="1" si="149"/>
        <v>122.28091852675732</v>
      </c>
      <c r="X333" s="343"/>
      <c r="Y333" s="367" t="str">
        <f t="shared" ca="1" si="167"/>
        <v/>
      </c>
      <c r="Z333" s="368" t="str">
        <f t="shared" ca="1" si="168"/>
        <v/>
      </c>
      <c r="AA333" s="369" t="str">
        <f t="shared" ca="1" si="169"/>
        <v/>
      </c>
      <c r="AB333" s="344"/>
      <c r="AC333" s="363" t="e">
        <f t="shared" ca="1" si="170"/>
        <v>#N/A</v>
      </c>
      <c r="AD333" s="376" t="e">
        <f t="shared" ca="1" si="171"/>
        <v>#N/A</v>
      </c>
      <c r="AE333" s="377">
        <f t="shared" ca="1" si="150"/>
        <v>369.69755064939744</v>
      </c>
      <c r="AF333" s="344"/>
      <c r="AG333" s="359">
        <f t="shared" ca="1" si="172"/>
        <v>43.287306683617089</v>
      </c>
      <c r="AH333" s="357">
        <f t="shared" ca="1" si="173"/>
        <v>52.826419258605675</v>
      </c>
    </row>
    <row r="334" spans="1:34" x14ac:dyDescent="0.25">
      <c r="A334" s="402">
        <f t="shared" ca="1" si="151"/>
        <v>0.01</v>
      </c>
      <c r="B334" s="357">
        <f t="shared" ca="1" si="152"/>
        <v>3.2999999999999736</v>
      </c>
      <c r="C334" s="342"/>
      <c r="D334" s="359">
        <f t="shared" ca="1" si="153"/>
        <v>12.30024288724946</v>
      </c>
      <c r="E334" s="360">
        <f t="shared" ca="1" si="154"/>
        <v>41.416069894083847</v>
      </c>
      <c r="F334" s="357">
        <f t="shared" ca="1" si="155"/>
        <v>43.204013940338569</v>
      </c>
      <c r="G334" s="359">
        <f t="shared" ca="1" si="156"/>
        <v>49.849793506636601</v>
      </c>
      <c r="H334" s="360">
        <f t="shared" ca="1" si="157"/>
        <v>207.50828873429947</v>
      </c>
      <c r="I334" s="357">
        <f t="shared" ca="1" si="158"/>
        <v>213.41202357433309</v>
      </c>
      <c r="J334" s="359">
        <f t="shared" ca="1" si="159"/>
        <v>83.186699760899032</v>
      </c>
      <c r="K334" s="360">
        <f t="shared" ca="1" si="160"/>
        <v>371.77056273324575</v>
      </c>
      <c r="L334" s="357">
        <f t="shared" ca="1" si="145"/>
        <v>380.9637493674486</v>
      </c>
      <c r="M334" s="359">
        <f t="shared" ca="1" si="161"/>
        <v>1.3350335316942818</v>
      </c>
      <c r="N334" s="357">
        <f t="shared" ca="1" si="162"/>
        <v>76.491786874527179</v>
      </c>
      <c r="O334" s="343"/>
      <c r="P334" s="363">
        <f t="shared" ca="1" si="163"/>
        <v>11</v>
      </c>
      <c r="Q334" s="357">
        <f t="shared" ca="1" si="164"/>
        <v>701.25000000000341</v>
      </c>
      <c r="R334" s="359">
        <f t="shared" ca="1" si="165"/>
        <v>0.3512787479421477</v>
      </c>
      <c r="S334" s="360">
        <f t="shared" ca="1" si="166"/>
        <v>10.989858326567978</v>
      </c>
      <c r="T334" s="357">
        <f t="shared" ca="1" si="146"/>
        <v>107.81051018363186</v>
      </c>
      <c r="U334" s="364">
        <f t="shared" ca="1" si="147"/>
        <v>0</v>
      </c>
      <c r="V334" s="359">
        <f t="shared" ca="1" si="148"/>
        <v>1.1802892137729708</v>
      </c>
      <c r="W334" s="357">
        <f t="shared" ca="1" si="149"/>
        <v>122.75137020111985</v>
      </c>
      <c r="X334" s="343"/>
      <c r="Y334" s="367" t="str">
        <f t="shared" ca="1" si="167"/>
        <v/>
      </c>
      <c r="Z334" s="368" t="str">
        <f t="shared" ca="1" si="168"/>
        <v/>
      </c>
      <c r="AA334" s="369" t="str">
        <f t="shared" ca="1" si="169"/>
        <v/>
      </c>
      <c r="AB334" s="344"/>
      <c r="AC334" s="363" t="e">
        <f t="shared" ca="1" si="170"/>
        <v>#N/A</v>
      </c>
      <c r="AD334" s="376" t="e">
        <f t="shared" ca="1" si="171"/>
        <v>#N/A</v>
      </c>
      <c r="AE334" s="377">
        <f t="shared" ca="1" si="150"/>
        <v>371.77056273324575</v>
      </c>
      <c r="AF334" s="344"/>
      <c r="AG334" s="359">
        <f t="shared" ca="1" si="172"/>
        <v>43.143257794840366</v>
      </c>
      <c r="AH334" s="357">
        <f t="shared" ca="1" si="173"/>
        <v>52.68212421570427</v>
      </c>
    </row>
    <row r="335" spans="1:34" x14ac:dyDescent="0.25">
      <c r="A335" s="402">
        <f t="shared" ca="1" si="151"/>
        <v>0.01</v>
      </c>
      <c r="B335" s="357">
        <f t="shared" ca="1" si="152"/>
        <v>3.3099999999999734</v>
      </c>
      <c r="C335" s="342"/>
      <c r="D335" s="359">
        <f t="shared" ca="1" si="153"/>
        <v>12.272025801612189</v>
      </c>
      <c r="E335" s="360">
        <f t="shared" ca="1" si="154"/>
        <v>41.274405656699209</v>
      </c>
      <c r="F335" s="357">
        <f t="shared" ca="1" si="155"/>
        <v>43.060180905207524</v>
      </c>
      <c r="G335" s="359">
        <f t="shared" ca="1" si="156"/>
        <v>49.972513764652724</v>
      </c>
      <c r="H335" s="360">
        <f t="shared" ca="1" si="157"/>
        <v>207.92103279086646</v>
      </c>
      <c r="I335" s="357">
        <f t="shared" ca="1" si="158"/>
        <v>213.84201647192484</v>
      </c>
      <c r="J335" s="359">
        <f t="shared" ca="1" si="159"/>
        <v>83.685811297255484</v>
      </c>
      <c r="K335" s="360">
        <f t="shared" ca="1" si="160"/>
        <v>373.84770934087157</v>
      </c>
      <c r="L335" s="357">
        <f t="shared" ca="1" si="145"/>
        <v>383.09975827700106</v>
      </c>
      <c r="M335" s="359">
        <f t="shared" ca="1" si="161"/>
        <v>1.3349263747188178</v>
      </c>
      <c r="N335" s="357">
        <f t="shared" ca="1" si="162"/>
        <v>76.4856472320877</v>
      </c>
      <c r="O335" s="343"/>
      <c r="P335" s="363">
        <f t="shared" ca="1" si="163"/>
        <v>11</v>
      </c>
      <c r="Q335" s="357">
        <f t="shared" ca="1" si="164"/>
        <v>699.95000000000346</v>
      </c>
      <c r="R335" s="359">
        <f t="shared" ca="1" si="165"/>
        <v>0.35062753600300361</v>
      </c>
      <c r="S335" s="360">
        <f t="shared" ca="1" si="166"/>
        <v>10.986352051207948</v>
      </c>
      <c r="T335" s="357">
        <f t="shared" ca="1" si="146"/>
        <v>107.77611362234998</v>
      </c>
      <c r="U335" s="364">
        <f t="shared" ca="1" si="147"/>
        <v>0</v>
      </c>
      <c r="V335" s="359">
        <f t="shared" ca="1" si="148"/>
        <v>1.1800439906613609</v>
      </c>
      <c r="W335" s="357">
        <f t="shared" ca="1" si="149"/>
        <v>123.22091300808978</v>
      </c>
      <c r="X335" s="343"/>
      <c r="Y335" s="367" t="str">
        <f t="shared" ca="1" si="167"/>
        <v/>
      </c>
      <c r="Z335" s="368" t="str">
        <f t="shared" ca="1" si="168"/>
        <v/>
      </c>
      <c r="AA335" s="369" t="str">
        <f t="shared" ca="1" si="169"/>
        <v/>
      </c>
      <c r="AB335" s="344"/>
      <c r="AC335" s="363" t="e">
        <f t="shared" ca="1" si="170"/>
        <v>#N/A</v>
      </c>
      <c r="AD335" s="376" t="e">
        <f t="shared" ca="1" si="171"/>
        <v>#N/A</v>
      </c>
      <c r="AE335" s="377">
        <f t="shared" ca="1" si="150"/>
        <v>373.84770934087157</v>
      </c>
      <c r="AF335" s="344"/>
      <c r="AG335" s="359">
        <f t="shared" ca="1" si="172"/>
        <v>42.999166985871184</v>
      </c>
      <c r="AH335" s="357">
        <f t="shared" ca="1" si="173"/>
        <v>52.537787530249474</v>
      </c>
    </row>
    <row r="336" spans="1:34" x14ac:dyDescent="0.25">
      <c r="A336" s="402">
        <f t="shared" ca="1" si="151"/>
        <v>0.01</v>
      </c>
      <c r="B336" s="357">
        <f t="shared" ca="1" si="152"/>
        <v>3.3199999999999732</v>
      </c>
      <c r="C336" s="342"/>
      <c r="D336" s="359">
        <f t="shared" ca="1" si="153"/>
        <v>12.243760437025761</v>
      </c>
      <c r="E336" s="360">
        <f t="shared" ca="1" si="154"/>
        <v>41.132710772957594</v>
      </c>
      <c r="F336" s="357">
        <f t="shared" ca="1" si="155"/>
        <v>42.916308848397705</v>
      </c>
      <c r="G336" s="359">
        <f t="shared" ca="1" si="156"/>
        <v>50.094951369022979</v>
      </c>
      <c r="H336" s="360">
        <f t="shared" ca="1" si="157"/>
        <v>208.33235989859602</v>
      </c>
      <c r="I336" s="357">
        <f t="shared" ca="1" si="158"/>
        <v>214.27056805259775</v>
      </c>
      <c r="J336" s="359">
        <f t="shared" ca="1" si="159"/>
        <v>84.186148622923866</v>
      </c>
      <c r="K336" s="360">
        <f t="shared" ca="1" si="160"/>
        <v>375.92897630431889</v>
      </c>
      <c r="L336" s="357">
        <f t="shared" ca="1" si="145"/>
        <v>385.24005872335522</v>
      </c>
      <c r="M336" s="359">
        <f t="shared" ca="1" si="161"/>
        <v>1.3348193843603837</v>
      </c>
      <c r="N336" s="357">
        <f t="shared" ca="1" si="162"/>
        <v>76.479517136100839</v>
      </c>
      <c r="O336" s="343"/>
      <c r="P336" s="363">
        <f t="shared" ca="1" si="163"/>
        <v>11</v>
      </c>
      <c r="Q336" s="357">
        <f t="shared" ca="1" si="164"/>
        <v>698.6500000000035</v>
      </c>
      <c r="R336" s="359">
        <f t="shared" ca="1" si="165"/>
        <v>0.34997632406385959</v>
      </c>
      <c r="S336" s="360">
        <f t="shared" ca="1" si="166"/>
        <v>10.98285228796731</v>
      </c>
      <c r="T336" s="357">
        <f t="shared" ca="1" si="146"/>
        <v>107.74178094495932</v>
      </c>
      <c r="U336" s="364">
        <f t="shared" ca="1" si="147"/>
        <v>0</v>
      </c>
      <c r="V336" s="359">
        <f t="shared" ca="1" si="148"/>
        <v>1.1797983312556368</v>
      </c>
      <c r="W336" s="357">
        <f t="shared" ca="1" si="149"/>
        <v>123.68953652543159</v>
      </c>
      <c r="X336" s="343"/>
      <c r="Y336" s="367" t="str">
        <f t="shared" ca="1" si="167"/>
        <v/>
      </c>
      <c r="Z336" s="368" t="str">
        <f t="shared" ca="1" si="168"/>
        <v/>
      </c>
      <c r="AA336" s="369" t="str">
        <f t="shared" ca="1" si="169"/>
        <v/>
      </c>
      <c r="AB336" s="344"/>
      <c r="AC336" s="363" t="e">
        <f t="shared" ca="1" si="170"/>
        <v>#N/A</v>
      </c>
      <c r="AD336" s="376" t="e">
        <f t="shared" ca="1" si="171"/>
        <v>#N/A</v>
      </c>
      <c r="AE336" s="377">
        <f t="shared" ca="1" si="150"/>
        <v>375.92897630431889</v>
      </c>
      <c r="AF336" s="344"/>
      <c r="AG336" s="359">
        <f t="shared" ca="1" si="172"/>
        <v>42.855035430209213</v>
      </c>
      <c r="AH336" s="357">
        <f t="shared" ca="1" si="173"/>
        <v>52.393410373218565</v>
      </c>
    </row>
    <row r="337" spans="1:34" x14ac:dyDescent="0.25">
      <c r="A337" s="402">
        <f t="shared" ca="1" si="151"/>
        <v>0.01</v>
      </c>
      <c r="B337" s="357">
        <f t="shared" ca="1" si="152"/>
        <v>3.329999999999973</v>
      </c>
      <c r="C337" s="342"/>
      <c r="D337" s="359">
        <f t="shared" ca="1" si="153"/>
        <v>12.215447193208954</v>
      </c>
      <c r="E337" s="360">
        <f t="shared" ca="1" si="154"/>
        <v>40.990986355514579</v>
      </c>
      <c r="F337" s="357">
        <f t="shared" ca="1" si="155"/>
        <v>42.772398956898115</v>
      </c>
      <c r="G337" s="359">
        <f t="shared" ca="1" si="156"/>
        <v>50.217105840955071</v>
      </c>
      <c r="H337" s="360">
        <f t="shared" ca="1" si="157"/>
        <v>208.74226976215118</v>
      </c>
      <c r="I337" s="357">
        <f t="shared" ca="1" si="158"/>
        <v>214.69767792059693</v>
      </c>
      <c r="J337" s="359">
        <f t="shared" ca="1" si="159"/>
        <v>84.687708908973761</v>
      </c>
      <c r="K337" s="360">
        <f t="shared" ca="1" si="160"/>
        <v>378.01434945262264</v>
      </c>
      <c r="L337" s="357">
        <f t="shared" ca="1" si="145"/>
        <v>387.38463628845761</v>
      </c>
      <c r="M337" s="359">
        <f t="shared" ca="1" si="161"/>
        <v>1.3347125593117377</v>
      </c>
      <c r="N337" s="357">
        <f t="shared" ca="1" si="162"/>
        <v>76.473396511667133</v>
      </c>
      <c r="O337" s="343"/>
      <c r="P337" s="363">
        <f t="shared" ca="1" si="163"/>
        <v>11</v>
      </c>
      <c r="Q337" s="357">
        <f t="shared" ca="1" si="164"/>
        <v>697.35000000000355</v>
      </c>
      <c r="R337" s="359">
        <f t="shared" ca="1" si="165"/>
        <v>0.34932511212471551</v>
      </c>
      <c r="S337" s="360">
        <f t="shared" ca="1" si="166"/>
        <v>10.979359036846063</v>
      </c>
      <c r="T337" s="357">
        <f t="shared" ca="1" si="146"/>
        <v>107.70751215145988</v>
      </c>
      <c r="U337" s="364">
        <f t="shared" ca="1" si="147"/>
        <v>0</v>
      </c>
      <c r="V337" s="359">
        <f t="shared" ca="1" si="148"/>
        <v>1.1795522375106284</v>
      </c>
      <c r="W337" s="357">
        <f t="shared" ca="1" si="149"/>
        <v>124.15723038766828</v>
      </c>
      <c r="X337" s="343"/>
      <c r="Y337" s="367" t="str">
        <f t="shared" ca="1" si="167"/>
        <v/>
      </c>
      <c r="Z337" s="368" t="str">
        <f t="shared" ca="1" si="168"/>
        <v/>
      </c>
      <c r="AA337" s="369" t="str">
        <f t="shared" ca="1" si="169"/>
        <v/>
      </c>
      <c r="AB337" s="344"/>
      <c r="AC337" s="363" t="e">
        <f t="shared" ca="1" si="170"/>
        <v>#N/A</v>
      </c>
      <c r="AD337" s="376" t="e">
        <f t="shared" ca="1" si="171"/>
        <v>#N/A</v>
      </c>
      <c r="AE337" s="377">
        <f t="shared" ca="1" si="150"/>
        <v>378.01434945262264</v>
      </c>
      <c r="AF337" s="344"/>
      <c r="AG337" s="359">
        <f t="shared" ca="1" si="172"/>
        <v>42.710864297814709</v>
      </c>
      <c r="AH337" s="357">
        <f t="shared" ca="1" si="173"/>
        <v>52.248993912067391</v>
      </c>
    </row>
    <row r="338" spans="1:34" x14ac:dyDescent="0.25">
      <c r="A338" s="402">
        <f t="shared" ca="1" si="151"/>
        <v>0.01</v>
      </c>
      <c r="B338" s="357">
        <f t="shared" ca="1" si="152"/>
        <v>3.3399999999999728</v>
      </c>
      <c r="C338" s="342"/>
      <c r="D338" s="359">
        <f t="shared" ca="1" si="153"/>
        <v>12.187086468292984</v>
      </c>
      <c r="E338" s="360">
        <f t="shared" ca="1" si="154"/>
        <v>40.849233513698898</v>
      </c>
      <c r="F338" s="357">
        <f t="shared" ca="1" si="155"/>
        <v>42.628452414348224</v>
      </c>
      <c r="G338" s="359">
        <f t="shared" ca="1" si="156"/>
        <v>50.338976705638004</v>
      </c>
      <c r="H338" s="360">
        <f t="shared" ca="1" si="157"/>
        <v>209.15076209728818</v>
      </c>
      <c r="I338" s="357">
        <f t="shared" ca="1" si="158"/>
        <v>215.12334569183142</v>
      </c>
      <c r="J338" s="359">
        <f t="shared" ca="1" si="159"/>
        <v>85.190489321706721</v>
      </c>
      <c r="K338" s="360">
        <f t="shared" ca="1" si="160"/>
        <v>380.10381461191986</v>
      </c>
      <c r="L338" s="357">
        <f t="shared" ca="1" si="145"/>
        <v>389.53347655035321</v>
      </c>
      <c r="M338" s="359">
        <f t="shared" ca="1" si="161"/>
        <v>1.334605898275973</v>
      </c>
      <c r="N338" s="357">
        <f t="shared" ca="1" si="162"/>
        <v>76.467285284479317</v>
      </c>
      <c r="O338" s="343"/>
      <c r="P338" s="363">
        <f t="shared" ca="1" si="163"/>
        <v>11</v>
      </c>
      <c r="Q338" s="357">
        <f t="shared" ca="1" si="164"/>
        <v>696.05000000000359</v>
      </c>
      <c r="R338" s="359">
        <f t="shared" ca="1" si="165"/>
        <v>0.34867390018557143</v>
      </c>
      <c r="S338" s="360">
        <f t="shared" ca="1" si="166"/>
        <v>10.975872297844207</v>
      </c>
      <c r="T338" s="357">
        <f t="shared" ca="1" si="146"/>
        <v>107.67330724185167</v>
      </c>
      <c r="U338" s="364">
        <f t="shared" ca="1" si="147"/>
        <v>0</v>
      </c>
      <c r="V338" s="359">
        <f t="shared" ca="1" si="148"/>
        <v>1.1793057113805514</v>
      </c>
      <c r="W338" s="357">
        <f t="shared" ca="1" si="149"/>
        <v>124.62398428618543</v>
      </c>
      <c r="X338" s="343"/>
      <c r="Y338" s="367" t="str">
        <f t="shared" ca="1" si="167"/>
        <v/>
      </c>
      <c r="Z338" s="368" t="str">
        <f t="shared" ca="1" si="168"/>
        <v/>
      </c>
      <c r="AA338" s="369" t="str">
        <f t="shared" ca="1" si="169"/>
        <v/>
      </c>
      <c r="AB338" s="344"/>
      <c r="AC338" s="363" t="e">
        <f t="shared" ca="1" si="170"/>
        <v>#N/A</v>
      </c>
      <c r="AD338" s="376" t="e">
        <f t="shared" ca="1" si="171"/>
        <v>#N/A</v>
      </c>
      <c r="AE338" s="377">
        <f t="shared" ca="1" si="150"/>
        <v>380.10381461191986</v>
      </c>
      <c r="AF338" s="344"/>
      <c r="AG338" s="359">
        <f t="shared" ca="1" si="172"/>
        <v>42.56665475508639</v>
      </c>
      <c r="AH338" s="357">
        <f t="shared" ca="1" si="173"/>
        <v>52.104539310708084</v>
      </c>
    </row>
    <row r="339" spans="1:34" x14ac:dyDescent="0.25">
      <c r="A339" s="402">
        <f t="shared" ca="1" si="151"/>
        <v>0.01</v>
      </c>
      <c r="B339" s="357">
        <f t="shared" ca="1" si="152"/>
        <v>3.3499999999999726</v>
      </c>
      <c r="C339" s="342"/>
      <c r="D339" s="359">
        <f t="shared" ca="1" si="153"/>
        <v>12.158678658825876</v>
      </c>
      <c r="E339" s="360">
        <f t="shared" ca="1" si="154"/>
        <v>40.707453353489534</v>
      </c>
      <c r="F339" s="357">
        <f t="shared" ca="1" si="155"/>
        <v>42.484470401019642</v>
      </c>
      <c r="G339" s="359">
        <f t="shared" ca="1" si="156"/>
        <v>50.460563492226264</v>
      </c>
      <c r="H339" s="360">
        <f t="shared" ca="1" si="157"/>
        <v>209.55783663082306</v>
      </c>
      <c r="I339" s="357">
        <f t="shared" ca="1" si="158"/>
        <v>215.54757099383821</v>
      </c>
      <c r="J339" s="359">
        <f t="shared" ca="1" si="159"/>
        <v>85.694487022696038</v>
      </c>
      <c r="K339" s="360">
        <f t="shared" ca="1" si="160"/>
        <v>382.1973576055604</v>
      </c>
      <c r="L339" s="357">
        <f t="shared" ca="1" si="145"/>
        <v>391.68656508330184</v>
      </c>
      <c r="M339" s="359">
        <f t="shared" ca="1" si="161"/>
        <v>1.3344993999663952</v>
      </c>
      <c r="N339" s="357">
        <f t="shared" ca="1" si="162"/>
        <v>76.461183380815243</v>
      </c>
      <c r="O339" s="343"/>
      <c r="P339" s="363">
        <f t="shared" ca="1" si="163"/>
        <v>11</v>
      </c>
      <c r="Q339" s="357">
        <f t="shared" ca="1" si="164"/>
        <v>694.75000000000352</v>
      </c>
      <c r="R339" s="359">
        <f t="shared" ca="1" si="165"/>
        <v>0.34802268824642735</v>
      </c>
      <c r="S339" s="360">
        <f t="shared" ca="1" si="166"/>
        <v>10.972392070961742</v>
      </c>
      <c r="T339" s="357">
        <f t="shared" ca="1" si="146"/>
        <v>107.6391662161347</v>
      </c>
      <c r="U339" s="364">
        <f t="shared" ca="1" si="147"/>
        <v>0</v>
      </c>
      <c r="V339" s="359">
        <f t="shared" ca="1" si="148"/>
        <v>1.1790587548189835</v>
      </c>
      <c r="W339" s="357">
        <f t="shared" ca="1" si="149"/>
        <v>125.08978796933094</v>
      </c>
      <c r="X339" s="343"/>
      <c r="Y339" s="367" t="str">
        <f t="shared" ca="1" si="167"/>
        <v/>
      </c>
      <c r="Z339" s="368" t="str">
        <f t="shared" ca="1" si="168"/>
        <v/>
      </c>
      <c r="AA339" s="369" t="str">
        <f t="shared" ca="1" si="169"/>
        <v/>
      </c>
      <c r="AB339" s="344"/>
      <c r="AC339" s="363" t="e">
        <f t="shared" ca="1" si="170"/>
        <v>#N/A</v>
      </c>
      <c r="AD339" s="376" t="e">
        <f t="shared" ca="1" si="171"/>
        <v>#N/A</v>
      </c>
      <c r="AE339" s="377">
        <f t="shared" ca="1" si="150"/>
        <v>382.1973576055604</v>
      </c>
      <c r="AF339" s="344"/>
      <c r="AG339" s="359">
        <f t="shared" ca="1" si="172"/>
        <v>42.422407964839735</v>
      </c>
      <c r="AH339" s="357">
        <f t="shared" ca="1" si="173"/>
        <v>51.960047729487115</v>
      </c>
    </row>
    <row r="340" spans="1:34" x14ac:dyDescent="0.25">
      <c r="A340" s="402">
        <f t="shared" ca="1" si="151"/>
        <v>0.01</v>
      </c>
      <c r="B340" s="357">
        <f t="shared" ca="1" si="152"/>
        <v>3.3599999999999723</v>
      </c>
      <c r="C340" s="342"/>
      <c r="D340" s="359">
        <f t="shared" ca="1" si="153"/>
        <v>12.130224159776796</v>
      </c>
      <c r="E340" s="360">
        <f t="shared" ca="1" si="154"/>
        <v>40.565646977493138</v>
      </c>
      <c r="F340" s="357">
        <f t="shared" ca="1" si="155"/>
        <v>42.340454093798179</v>
      </c>
      <c r="G340" s="359">
        <f t="shared" ca="1" si="156"/>
        <v>50.581865733824031</v>
      </c>
      <c r="H340" s="360">
        <f t="shared" ca="1" si="157"/>
        <v>209.96349310059799</v>
      </c>
      <c r="I340" s="357">
        <f t="shared" ca="1" si="158"/>
        <v>215.97035346574646</v>
      </c>
      <c r="J340" s="359">
        <f t="shared" ca="1" si="159"/>
        <v>86.199699168826285</v>
      </c>
      <c r="K340" s="360">
        <f t="shared" ca="1" si="160"/>
        <v>384.29496425421752</v>
      </c>
      <c r="L340" s="357">
        <f t="shared" ca="1" si="145"/>
        <v>393.84388745789425</v>
      </c>
      <c r="M340" s="359">
        <f t="shared" ca="1" si="161"/>
        <v>1.3343930631064016</v>
      </c>
      <c r="N340" s="357">
        <f t="shared" ca="1" si="162"/>
        <v>76.45509072753093</v>
      </c>
      <c r="O340" s="343"/>
      <c r="P340" s="363">
        <f t="shared" ca="1" si="163"/>
        <v>11</v>
      </c>
      <c r="Q340" s="357">
        <f t="shared" ca="1" si="164"/>
        <v>693.45000000000357</v>
      </c>
      <c r="R340" s="359">
        <f t="shared" ca="1" si="165"/>
        <v>0.34737147630728327</v>
      </c>
      <c r="S340" s="360">
        <f t="shared" ca="1" si="166"/>
        <v>10.968918356198669</v>
      </c>
      <c r="T340" s="357">
        <f t="shared" ca="1" si="146"/>
        <v>107.60508907430895</v>
      </c>
      <c r="U340" s="364">
        <f t="shared" ca="1" si="147"/>
        <v>0</v>
      </c>
      <c r="V340" s="359">
        <f t="shared" ca="1" si="148"/>
        <v>1.1788113697788478</v>
      </c>
      <c r="W340" s="357">
        <f t="shared" ca="1" si="149"/>
        <v>125.55463124251335</v>
      </c>
      <c r="X340" s="343"/>
      <c r="Y340" s="367" t="str">
        <f t="shared" ca="1" si="167"/>
        <v/>
      </c>
      <c r="Z340" s="368" t="str">
        <f t="shared" ca="1" si="168"/>
        <v/>
      </c>
      <c r="AA340" s="369" t="str">
        <f t="shared" ca="1" si="169"/>
        <v/>
      </c>
      <c r="AB340" s="344"/>
      <c r="AC340" s="363" t="e">
        <f t="shared" ca="1" si="170"/>
        <v>#N/A</v>
      </c>
      <c r="AD340" s="376" t="e">
        <f t="shared" ca="1" si="171"/>
        <v>#N/A</v>
      </c>
      <c r="AE340" s="377">
        <f t="shared" ca="1" si="150"/>
        <v>384.29496425421752</v>
      </c>
      <c r="AF340" s="344"/>
      <c r="AG340" s="359">
        <f t="shared" ca="1" si="172"/>
        <v>42.278125086285527</v>
      </c>
      <c r="AH340" s="357">
        <f t="shared" ca="1" si="173"/>
        <v>51.815520325163639</v>
      </c>
    </row>
    <row r="341" spans="1:34" x14ac:dyDescent="0.25">
      <c r="A341" s="402">
        <f t="shared" ca="1" si="151"/>
        <v>0.01</v>
      </c>
      <c r="B341" s="357">
        <f t="shared" ca="1" si="152"/>
        <v>3.3699999999999721</v>
      </c>
      <c r="C341" s="342"/>
      <c r="D341" s="359">
        <f t="shared" ca="1" si="153"/>
        <v>12.101723364540245</v>
      </c>
      <c r="E341" s="360">
        <f t="shared" ca="1" si="154"/>
        <v>40.423815484921519</v>
      </c>
      <c r="F341" s="357">
        <f t="shared" ca="1" si="155"/>
        <v>42.196404666166053</v>
      </c>
      <c r="G341" s="359">
        <f t="shared" ca="1" si="156"/>
        <v>50.702882967469435</v>
      </c>
      <c r="H341" s="360">
        <f t="shared" ca="1" si="157"/>
        <v>210.36773125544721</v>
      </c>
      <c r="I341" s="357">
        <f t="shared" ca="1" si="158"/>
        <v>216.39169275824096</v>
      </c>
      <c r="J341" s="359">
        <f t="shared" ca="1" si="159"/>
        <v>86.706122912332759</v>
      </c>
      <c r="K341" s="360">
        <f t="shared" ca="1" si="160"/>
        <v>386.39662037599777</v>
      </c>
      <c r="L341" s="357">
        <f t="shared" ca="1" si="145"/>
        <v>396.00542924116769</v>
      </c>
      <c r="M341" s="359">
        <f t="shared" ca="1" si="161"/>
        <v>1.3342868864293627</v>
      </c>
      <c r="N341" s="357">
        <f t="shared" ca="1" si="162"/>
        <v>76.449007252053875</v>
      </c>
      <c r="O341" s="343"/>
      <c r="P341" s="363">
        <f t="shared" ca="1" si="163"/>
        <v>11</v>
      </c>
      <c r="Q341" s="357">
        <f t="shared" ca="1" si="164"/>
        <v>692.15000000000362</v>
      </c>
      <c r="R341" s="359">
        <f t="shared" ca="1" si="165"/>
        <v>0.34672026436813919</v>
      </c>
      <c r="S341" s="360">
        <f t="shared" ca="1" si="166"/>
        <v>10.965451153554987</v>
      </c>
      <c r="T341" s="357">
        <f t="shared" ca="1" si="146"/>
        <v>107.57107581637443</v>
      </c>
      <c r="U341" s="364">
        <f t="shared" ca="1" si="147"/>
        <v>0</v>
      </c>
      <c r="V341" s="359">
        <f t="shared" ca="1" si="148"/>
        <v>1.1785635582123912</v>
      </c>
      <c r="W341" s="357">
        <f t="shared" ca="1" si="149"/>
        <v>126.01850396829609</v>
      </c>
      <c r="X341" s="343"/>
      <c r="Y341" s="367" t="str">
        <f t="shared" ca="1" si="167"/>
        <v/>
      </c>
      <c r="Z341" s="368" t="str">
        <f t="shared" ca="1" si="168"/>
        <v/>
      </c>
      <c r="AA341" s="369" t="str">
        <f t="shared" ca="1" si="169"/>
        <v/>
      </c>
      <c r="AB341" s="344"/>
      <c r="AC341" s="363" t="e">
        <f t="shared" ca="1" si="170"/>
        <v>#N/A</v>
      </c>
      <c r="AD341" s="376" t="e">
        <f t="shared" ca="1" si="171"/>
        <v>#N/A</v>
      </c>
      <c r="AE341" s="377">
        <f t="shared" ca="1" si="150"/>
        <v>386.39662037599777</v>
      </c>
      <c r="AF341" s="344"/>
      <c r="AG341" s="359">
        <f t="shared" ca="1" si="172"/>
        <v>42.133807275008479</v>
      </c>
      <c r="AH341" s="357">
        <f t="shared" ca="1" si="173"/>
        <v>51.6709582508879</v>
      </c>
    </row>
    <row r="342" spans="1:34" x14ac:dyDescent="0.25">
      <c r="A342" s="402">
        <f t="shared" ca="1" si="151"/>
        <v>0.01</v>
      </c>
      <c r="B342" s="357">
        <f t="shared" ca="1" si="152"/>
        <v>3.3799999999999719</v>
      </c>
      <c r="C342" s="342"/>
      <c r="D342" s="359">
        <f t="shared" ca="1" si="153"/>
        <v>12.073176664940128</v>
      </c>
      <c r="E342" s="360">
        <f t="shared" ca="1" si="154"/>
        <v>40.281959971569684</v>
      </c>
      <c r="F342" s="357">
        <f t="shared" ca="1" si="155"/>
        <v>42.052323288184652</v>
      </c>
      <c r="G342" s="359">
        <f t="shared" ca="1" si="156"/>
        <v>50.823614734118834</v>
      </c>
      <c r="H342" s="360">
        <f t="shared" ca="1" si="157"/>
        <v>210.7705508551629</v>
      </c>
      <c r="I342" s="357">
        <f t="shared" ca="1" si="158"/>
        <v>216.81158853352593</v>
      </c>
      <c r="J342" s="359">
        <f t="shared" ca="1" si="159"/>
        <v>87.213755400840697</v>
      </c>
      <c r="K342" s="360">
        <f t="shared" ca="1" si="160"/>
        <v>388.50231178655082</v>
      </c>
      <c r="L342" s="357">
        <f t="shared" ca="1" si="145"/>
        <v>398.17117599672133</v>
      </c>
      <c r="M342" s="359">
        <f t="shared" ca="1" si="161"/>
        <v>1.3341808686785046</v>
      </c>
      <c r="N342" s="357">
        <f t="shared" ca="1" si="162"/>
        <v>76.44293288237624</v>
      </c>
      <c r="O342" s="343"/>
      <c r="P342" s="363">
        <f t="shared" ca="1" si="163"/>
        <v>11</v>
      </c>
      <c r="Q342" s="357">
        <f t="shared" ca="1" si="164"/>
        <v>690.85000000000366</v>
      </c>
      <c r="R342" s="359">
        <f t="shared" ca="1" si="165"/>
        <v>0.34606905242899516</v>
      </c>
      <c r="S342" s="360">
        <f t="shared" ca="1" si="166"/>
        <v>10.961990463030697</v>
      </c>
      <c r="T342" s="357">
        <f t="shared" ca="1" si="146"/>
        <v>107.53712644233114</v>
      </c>
      <c r="U342" s="364">
        <f t="shared" ca="1" si="147"/>
        <v>0</v>
      </c>
      <c r="V342" s="359">
        <f t="shared" ca="1" si="148"/>
        <v>1.178315322071166</v>
      </c>
      <c r="W342" s="357">
        <f t="shared" ca="1" si="149"/>
        <v>126.48139606648991</v>
      </c>
      <c r="X342" s="343"/>
      <c r="Y342" s="367" t="str">
        <f t="shared" ca="1" si="167"/>
        <v/>
      </c>
      <c r="Z342" s="368" t="str">
        <f t="shared" ca="1" si="168"/>
        <v/>
      </c>
      <c r="AA342" s="369" t="str">
        <f t="shared" ca="1" si="169"/>
        <v/>
      </c>
      <c r="AB342" s="344"/>
      <c r="AC342" s="363" t="e">
        <f t="shared" ca="1" si="170"/>
        <v>#N/A</v>
      </c>
      <c r="AD342" s="376" t="e">
        <f t="shared" ca="1" si="171"/>
        <v>#N/A</v>
      </c>
      <c r="AE342" s="377">
        <f t="shared" ca="1" si="150"/>
        <v>388.50231178655082</v>
      </c>
      <c r="AF342" s="344"/>
      <c r="AG342" s="359">
        <f t="shared" ca="1" si="172"/>
        <v>41.989455682946321</v>
      </c>
      <c r="AH342" s="357">
        <f t="shared" ca="1" si="173"/>
        <v>51.526362656180133</v>
      </c>
    </row>
    <row r="343" spans="1:34" x14ac:dyDescent="0.25">
      <c r="A343" s="402">
        <f t="shared" ca="1" si="151"/>
        <v>0.01</v>
      </c>
      <c r="B343" s="357">
        <f t="shared" ca="1" si="152"/>
        <v>3.3899999999999717</v>
      </c>
      <c r="C343" s="342"/>
      <c r="D343" s="359">
        <f t="shared" ca="1" si="153"/>
        <v>12.044584451233767</v>
      </c>
      <c r="E343" s="360">
        <f t="shared" ca="1" si="154"/>
        <v>40.140081529793896</v>
      </c>
      <c r="F343" s="357">
        <f t="shared" ca="1" si="155"/>
        <v>41.90821112647739</v>
      </c>
      <c r="G343" s="359">
        <f t="shared" ca="1" si="156"/>
        <v>50.944060578631174</v>
      </c>
      <c r="H343" s="360">
        <f t="shared" ca="1" si="157"/>
        <v>211.17195167046083</v>
      </c>
      <c r="I343" s="357">
        <f t="shared" ca="1" si="158"/>
        <v>217.23004046528806</v>
      </c>
      <c r="J343" s="359">
        <f t="shared" ca="1" si="159"/>
        <v>87.722593777404441</v>
      </c>
      <c r="K343" s="360">
        <f t="shared" ca="1" si="160"/>
        <v>390.61202429917893</v>
      </c>
      <c r="L343" s="357">
        <f t="shared" ca="1" si="145"/>
        <v>400.34111328483095</v>
      </c>
      <c r="M343" s="359">
        <f t="shared" ca="1" si="161"/>
        <v>1.3340750086067947</v>
      </c>
      <c r="N343" s="357">
        <f t="shared" ca="1" si="162"/>
        <v>76.436867547048308</v>
      </c>
      <c r="O343" s="343"/>
      <c r="P343" s="363">
        <f t="shared" ca="1" si="163"/>
        <v>11</v>
      </c>
      <c r="Q343" s="357">
        <f t="shared" ca="1" si="164"/>
        <v>689.55000000000371</v>
      </c>
      <c r="R343" s="359">
        <f t="shared" ca="1" si="165"/>
        <v>0.34541784048985108</v>
      </c>
      <c r="S343" s="360">
        <f t="shared" ca="1" si="166"/>
        <v>10.958536284625797</v>
      </c>
      <c r="T343" s="357">
        <f t="shared" ca="1" si="146"/>
        <v>107.50324095217907</v>
      </c>
      <c r="U343" s="364">
        <f t="shared" ca="1" si="147"/>
        <v>0</v>
      </c>
      <c r="V343" s="359">
        <f t="shared" ca="1" si="148"/>
        <v>1.1780666633060084</v>
      </c>
      <c r="W343" s="357">
        <f t="shared" ca="1" si="149"/>
        <v>126.94329751424139</v>
      </c>
      <c r="X343" s="343"/>
      <c r="Y343" s="367" t="str">
        <f t="shared" ca="1" si="167"/>
        <v/>
      </c>
      <c r="Z343" s="368" t="str">
        <f t="shared" ca="1" si="168"/>
        <v/>
      </c>
      <c r="AA343" s="369" t="str">
        <f t="shared" ca="1" si="169"/>
        <v/>
      </c>
      <c r="AB343" s="344"/>
      <c r="AC343" s="363" t="e">
        <f t="shared" ca="1" si="170"/>
        <v>#N/A</v>
      </c>
      <c r="AD343" s="376" t="e">
        <f t="shared" ca="1" si="171"/>
        <v>#N/A</v>
      </c>
      <c r="AE343" s="377">
        <f t="shared" ca="1" si="150"/>
        <v>390.61202429917893</v>
      </c>
      <c r="AF343" s="344"/>
      <c r="AG343" s="359">
        <f t="shared" ca="1" si="172"/>
        <v>41.845071458368928</v>
      </c>
      <c r="AH343" s="357">
        <f t="shared" ca="1" si="173"/>
        <v>51.38173468690951</v>
      </c>
    </row>
    <row r="344" spans="1:34" x14ac:dyDescent="0.25">
      <c r="A344" s="402">
        <f t="shared" ca="1" si="151"/>
        <v>0.01</v>
      </c>
      <c r="B344" s="357">
        <f t="shared" ca="1" si="152"/>
        <v>3.3999999999999715</v>
      </c>
      <c r="C344" s="342"/>
      <c r="D344" s="359">
        <f t="shared" ca="1" si="153"/>
        <v>12.015947112115779</v>
      </c>
      <c r="E344" s="360">
        <f t="shared" ca="1" si="154"/>
        <v>39.998181248490233</v>
      </c>
      <c r="F344" s="357">
        <f t="shared" ca="1" si="155"/>
        <v>41.764069344213084</v>
      </c>
      <c r="G344" s="359">
        <f t="shared" ca="1" si="156"/>
        <v>51.064220049752329</v>
      </c>
      <c r="H344" s="360">
        <f t="shared" ca="1" si="157"/>
        <v>211.57193348294572</v>
      </c>
      <c r="I344" s="357">
        <f t="shared" ca="1" si="158"/>
        <v>217.64704823865986</v>
      </c>
      <c r="J344" s="359">
        <f t="shared" ca="1" si="159"/>
        <v>88.232635180546353</v>
      </c>
      <c r="K344" s="360">
        <f t="shared" ca="1" si="160"/>
        <v>392.72574372494597</v>
      </c>
      <c r="L344" s="357">
        <f t="shared" ca="1" si="145"/>
        <v>402.51522666256403</v>
      </c>
      <c r="M344" s="359">
        <f t="shared" ca="1" si="161"/>
        <v>1.333969304976826</v>
      </c>
      <c r="N344" s="357">
        <f t="shared" ca="1" si="162"/>
        <v>76.430811175171897</v>
      </c>
      <c r="O344" s="343"/>
      <c r="P344" s="363">
        <f t="shared" ca="1" si="163"/>
        <v>11</v>
      </c>
      <c r="Q344" s="357">
        <f t="shared" ca="1" si="164"/>
        <v>688.25000000000375</v>
      </c>
      <c r="R344" s="359">
        <f t="shared" ca="1" si="165"/>
        <v>0.344766628550707</v>
      </c>
      <c r="S344" s="360">
        <f t="shared" ca="1" si="166"/>
        <v>10.955088618340291</v>
      </c>
      <c r="T344" s="357">
        <f t="shared" ca="1" si="146"/>
        <v>107.46941934591825</v>
      </c>
      <c r="U344" s="364">
        <f t="shared" ca="1" si="147"/>
        <v>0</v>
      </c>
      <c r="V344" s="359">
        <f t="shared" ca="1" si="148"/>
        <v>1.1778175838670224</v>
      </c>
      <c r="W344" s="357">
        <f t="shared" ca="1" si="149"/>
        <v>127.40419834612001</v>
      </c>
      <c r="X344" s="343"/>
      <c r="Y344" s="367" t="str">
        <f t="shared" ca="1" si="167"/>
        <v/>
      </c>
      <c r="Z344" s="368" t="str">
        <f t="shared" ca="1" si="168"/>
        <v/>
      </c>
      <c r="AA344" s="369" t="str">
        <f t="shared" ca="1" si="169"/>
        <v/>
      </c>
      <c r="AB344" s="344"/>
      <c r="AC344" s="363" t="e">
        <f t="shared" ca="1" si="170"/>
        <v>#N/A</v>
      </c>
      <c r="AD344" s="376" t="e">
        <f t="shared" ca="1" si="171"/>
        <v>#N/A</v>
      </c>
      <c r="AE344" s="377">
        <f t="shared" ca="1" si="150"/>
        <v>392.72574372494597</v>
      </c>
      <c r="AF344" s="344"/>
      <c r="AG344" s="359">
        <f t="shared" ca="1" si="172"/>
        <v>41.700655745857937</v>
      </c>
      <c r="AH344" s="357">
        <f t="shared" ca="1" si="173"/>
        <v>51.237075485273529</v>
      </c>
    </row>
    <row r="345" spans="1:34" x14ac:dyDescent="0.25">
      <c r="A345" s="402">
        <f t="shared" ca="1" si="151"/>
        <v>0.01</v>
      </c>
      <c r="B345" s="357">
        <f t="shared" ca="1" si="152"/>
        <v>3.4099999999999713</v>
      </c>
      <c r="C345" s="342"/>
      <c r="D345" s="359">
        <f t="shared" ca="1" si="153"/>
        <v>11.987265034721917</v>
      </c>
      <c r="E345" s="360">
        <f t="shared" ca="1" si="154"/>
        <v>39.856260213073149</v>
      </c>
      <c r="F345" s="357">
        <f t="shared" ca="1" si="155"/>
        <v>41.619899101089423</v>
      </c>
      <c r="G345" s="359">
        <f t="shared" ca="1" si="156"/>
        <v>51.184092700099548</v>
      </c>
      <c r="H345" s="360">
        <f t="shared" ca="1" si="157"/>
        <v>211.97049608507646</v>
      </c>
      <c r="I345" s="357">
        <f t="shared" ca="1" si="158"/>
        <v>218.06261155018254</v>
      </c>
      <c r="J345" s="359">
        <f t="shared" ca="1" si="159"/>
        <v>88.743876744295619</v>
      </c>
      <c r="K345" s="360">
        <f t="shared" ca="1" si="160"/>
        <v>394.84345587278608</v>
      </c>
      <c r="L345" s="357">
        <f t="shared" ca="1" si="145"/>
        <v>404.69350168389349</v>
      </c>
      <c r="M345" s="359">
        <f t="shared" ca="1" si="161"/>
        <v>1.3338637565607065</v>
      </c>
      <c r="N345" s="357">
        <f t="shared" ca="1" si="162"/>
        <v>76.424763696393953</v>
      </c>
      <c r="O345" s="343"/>
      <c r="P345" s="363">
        <f t="shared" ca="1" si="163"/>
        <v>11</v>
      </c>
      <c r="Q345" s="357">
        <f t="shared" ca="1" si="164"/>
        <v>686.95000000000368</v>
      </c>
      <c r="R345" s="359">
        <f t="shared" ca="1" si="165"/>
        <v>0.34411541661156292</v>
      </c>
      <c r="S345" s="360">
        <f t="shared" ca="1" si="166"/>
        <v>10.951647464174176</v>
      </c>
      <c r="T345" s="357">
        <f t="shared" ca="1" si="146"/>
        <v>107.43566162354867</v>
      </c>
      <c r="U345" s="364">
        <f t="shared" ca="1" si="147"/>
        <v>0</v>
      </c>
      <c r="V345" s="359">
        <f t="shared" ca="1" si="148"/>
        <v>1.1775680857035573</v>
      </c>
      <c r="W345" s="357">
        <f t="shared" ca="1" si="149"/>
        <v>127.86408865420104</v>
      </c>
      <c r="X345" s="343"/>
      <c r="Y345" s="367" t="str">
        <f t="shared" ca="1" si="167"/>
        <v/>
      </c>
      <c r="Z345" s="368" t="str">
        <f t="shared" ca="1" si="168"/>
        <v/>
      </c>
      <c r="AA345" s="369" t="str">
        <f t="shared" ca="1" si="169"/>
        <v/>
      </c>
      <c r="AB345" s="344"/>
      <c r="AC345" s="363" t="e">
        <f t="shared" ca="1" si="170"/>
        <v>#N/A</v>
      </c>
      <c r="AD345" s="376" t="e">
        <f t="shared" ca="1" si="171"/>
        <v>#N/A</v>
      </c>
      <c r="AE345" s="377">
        <f t="shared" ca="1" si="150"/>
        <v>394.84345587278608</v>
      </c>
      <c r="AF345" s="344"/>
      <c r="AG345" s="359">
        <f t="shared" ca="1" si="172"/>
        <v>41.556209686286351</v>
      </c>
      <c r="AH345" s="357">
        <f t="shared" ca="1" si="173"/>
        <v>51.092386189777429</v>
      </c>
    </row>
    <row r="346" spans="1:34" x14ac:dyDescent="0.25">
      <c r="A346" s="402">
        <f t="shared" ca="1" si="151"/>
        <v>0.01</v>
      </c>
      <c r="B346" s="357">
        <f t="shared" ca="1" si="152"/>
        <v>3.4199999999999711</v>
      </c>
      <c r="C346" s="342"/>
      <c r="D346" s="359">
        <f t="shared" ca="1" si="153"/>
        <v>11.95853860463273</v>
      </c>
      <c r="E346" s="360">
        <f t="shared" ca="1" si="154"/>
        <v>39.714319505454604</v>
      </c>
      <c r="F346" s="357">
        <f t="shared" ca="1" si="155"/>
        <v>41.475701553317016</v>
      </c>
      <c r="G346" s="359">
        <f t="shared" ca="1" si="156"/>
        <v>51.303678086145872</v>
      </c>
      <c r="H346" s="360">
        <f t="shared" ca="1" si="157"/>
        <v>212.36763928013102</v>
      </c>
      <c r="I346" s="357">
        <f t="shared" ca="1" si="158"/>
        <v>218.47673010776853</v>
      </c>
      <c r="J346" s="359">
        <f t="shared" ca="1" si="159"/>
        <v>89.256315598226848</v>
      </c>
      <c r="K346" s="360">
        <f t="shared" ca="1" si="160"/>
        <v>396.96514654961214</v>
      </c>
      <c r="L346" s="357">
        <f t="shared" ca="1" si="145"/>
        <v>406.8759238998116</v>
      </c>
      <c r="M346" s="359">
        <f t="shared" ca="1" si="161"/>
        <v>1.3337583621399483</v>
      </c>
      <c r="N346" s="357">
        <f t="shared" ca="1" si="162"/>
        <v>76.418725040900284</v>
      </c>
      <c r="O346" s="343"/>
      <c r="P346" s="363">
        <f t="shared" ca="1" si="163"/>
        <v>11</v>
      </c>
      <c r="Q346" s="357">
        <f t="shared" ca="1" si="164"/>
        <v>685.65000000000373</v>
      </c>
      <c r="R346" s="359">
        <f t="shared" ca="1" si="165"/>
        <v>0.34346420467241884</v>
      </c>
      <c r="S346" s="360">
        <f t="shared" ca="1" si="166"/>
        <v>10.948212822127452</v>
      </c>
      <c r="T346" s="357">
        <f t="shared" ca="1" si="146"/>
        <v>107.40196778507031</v>
      </c>
      <c r="U346" s="364">
        <f t="shared" ca="1" si="147"/>
        <v>0</v>
      </c>
      <c r="V346" s="359">
        <f t="shared" ca="1" si="148"/>
        <v>1.1773181707641898</v>
      </c>
      <c r="W346" s="357">
        <f t="shared" ca="1" si="149"/>
        <v>128.32295858814635</v>
      </c>
      <c r="X346" s="343"/>
      <c r="Y346" s="367" t="str">
        <f t="shared" ca="1" si="167"/>
        <v/>
      </c>
      <c r="Z346" s="368" t="str">
        <f t="shared" ca="1" si="168"/>
        <v/>
      </c>
      <c r="AA346" s="369" t="str">
        <f t="shared" ca="1" si="169"/>
        <v/>
      </c>
      <c r="AB346" s="344"/>
      <c r="AC346" s="363" t="e">
        <f t="shared" ca="1" si="170"/>
        <v>#N/A</v>
      </c>
      <c r="AD346" s="376" t="e">
        <f t="shared" ca="1" si="171"/>
        <v>#N/A</v>
      </c>
      <c r="AE346" s="377">
        <f t="shared" ca="1" si="150"/>
        <v>396.96514654961214</v>
      </c>
      <c r="AF346" s="344"/>
      <c r="AG346" s="359">
        <f t="shared" ca="1" si="172"/>
        <v>41.411734416798623</v>
      </c>
      <c r="AH346" s="357">
        <f t="shared" ca="1" si="173"/>
        <v>50.947667935214099</v>
      </c>
    </row>
    <row r="347" spans="1:34" x14ac:dyDescent="0.25">
      <c r="A347" s="402">
        <f t="shared" ca="1" si="151"/>
        <v>0.01</v>
      </c>
      <c r="B347" s="357">
        <f t="shared" ca="1" si="152"/>
        <v>3.4299999999999708</v>
      </c>
      <c r="C347" s="342"/>
      <c r="D347" s="359">
        <f t="shared" ca="1" si="153"/>
        <v>11.92976820587722</v>
      </c>
      <c r="E347" s="360">
        <f t="shared" ca="1" si="154"/>
        <v>39.572360204023241</v>
      </c>
      <c r="F347" s="357">
        <f t="shared" ca="1" si="155"/>
        <v>41.331477853603559</v>
      </c>
      <c r="G347" s="359">
        <f t="shared" ca="1" si="156"/>
        <v>51.422975768204644</v>
      </c>
      <c r="H347" s="360">
        <f t="shared" ca="1" si="157"/>
        <v>212.76336288217124</v>
      </c>
      <c r="I347" s="357">
        <f t="shared" ca="1" si="158"/>
        <v>218.88940363066422</v>
      </c>
      <c r="J347" s="359">
        <f t="shared" ca="1" si="159"/>
        <v>89.769948867498599</v>
      </c>
      <c r="K347" s="360">
        <f t="shared" ca="1" si="160"/>
        <v>399.09080156042364</v>
      </c>
      <c r="L347" s="357">
        <f t="shared" ca="1" si="145"/>
        <v>409.06247885844374</v>
      </c>
      <c r="M347" s="359">
        <f t="shared" ca="1" si="161"/>
        <v>1.333653120505357</v>
      </c>
      <c r="N347" s="357">
        <f t="shared" ca="1" si="162"/>
        <v>76.412695139409138</v>
      </c>
      <c r="O347" s="343"/>
      <c r="P347" s="363">
        <f t="shared" ca="1" si="163"/>
        <v>11</v>
      </c>
      <c r="Q347" s="357">
        <f t="shared" ca="1" si="164"/>
        <v>684.35000000000377</v>
      </c>
      <c r="R347" s="359">
        <f t="shared" ca="1" si="165"/>
        <v>0.34281299273327476</v>
      </c>
      <c r="S347" s="360">
        <f t="shared" ca="1" si="166"/>
        <v>10.94478469220012</v>
      </c>
      <c r="T347" s="357">
        <f t="shared" ca="1" si="146"/>
        <v>107.36833783048318</v>
      </c>
      <c r="U347" s="364">
        <f t="shared" ca="1" si="147"/>
        <v>0</v>
      </c>
      <c r="V347" s="359">
        <f t="shared" ca="1" si="148"/>
        <v>1.1770678409967057</v>
      </c>
      <c r="W347" s="357">
        <f t="shared" ca="1" si="149"/>
        <v>128.78079835528246</v>
      </c>
      <c r="X347" s="343"/>
      <c r="Y347" s="367" t="str">
        <f t="shared" ca="1" si="167"/>
        <v/>
      </c>
      <c r="Z347" s="368" t="str">
        <f t="shared" ca="1" si="168"/>
        <v/>
      </c>
      <c r="AA347" s="369" t="str">
        <f t="shared" ca="1" si="169"/>
        <v/>
      </c>
      <c r="AB347" s="344"/>
      <c r="AC347" s="363" t="e">
        <f t="shared" ca="1" si="170"/>
        <v>#N/A</v>
      </c>
      <c r="AD347" s="376" t="e">
        <f t="shared" ca="1" si="171"/>
        <v>#N/A</v>
      </c>
      <c r="AE347" s="377">
        <f t="shared" ca="1" si="150"/>
        <v>399.09080156042364</v>
      </c>
      <c r="AF347" s="344"/>
      <c r="AG347" s="359">
        <f t="shared" ca="1" si="172"/>
        <v>41.267231070790807</v>
      </c>
      <c r="AH347" s="357">
        <f t="shared" ca="1" si="173"/>
        <v>50.80292185264404</v>
      </c>
    </row>
    <row r="348" spans="1:34" x14ac:dyDescent="0.25">
      <c r="A348" s="402">
        <f t="shared" ca="1" si="151"/>
        <v>0.01</v>
      </c>
      <c r="B348" s="357">
        <f t="shared" ca="1" si="152"/>
        <v>3.4399999999999706</v>
      </c>
      <c r="C348" s="342"/>
      <c r="D348" s="359">
        <f t="shared" ca="1" si="153"/>
        <v>11.900954220936395</v>
      </c>
      <c r="E348" s="360">
        <f t="shared" ca="1" si="154"/>
        <v>39.43038338362387</v>
      </c>
      <c r="F348" s="357">
        <f t="shared" ca="1" si="155"/>
        <v>41.187229151138403</v>
      </c>
      <c r="G348" s="359">
        <f t="shared" ca="1" si="156"/>
        <v>51.541985310414006</v>
      </c>
      <c r="H348" s="360">
        <f t="shared" ca="1" si="157"/>
        <v>213.15766671600747</v>
      </c>
      <c r="I348" s="357">
        <f t="shared" ca="1" si="158"/>
        <v>219.30063184941224</v>
      </c>
      <c r="J348" s="359">
        <f t="shared" ca="1" si="159"/>
        <v>90.284773672891689</v>
      </c>
      <c r="K348" s="360">
        <f t="shared" ca="1" si="160"/>
        <v>401.22040670841454</v>
      </c>
      <c r="L348" s="357">
        <f t="shared" ca="1" si="145"/>
        <v>411.25315210516123</v>
      </c>
      <c r="M348" s="359">
        <f t="shared" ca="1" si="161"/>
        <v>1.3335480304569265</v>
      </c>
      <c r="N348" s="357">
        <f t="shared" ca="1" si="162"/>
        <v>76.406673923165243</v>
      </c>
      <c r="O348" s="343"/>
      <c r="P348" s="363">
        <f t="shared" ca="1" si="163"/>
        <v>11</v>
      </c>
      <c r="Q348" s="357">
        <f t="shared" ca="1" si="164"/>
        <v>683.05000000000382</v>
      </c>
      <c r="R348" s="359">
        <f t="shared" ca="1" si="165"/>
        <v>0.34216178079413073</v>
      </c>
      <c r="S348" s="360">
        <f t="shared" ca="1" si="166"/>
        <v>10.941363074392179</v>
      </c>
      <c r="T348" s="357">
        <f t="shared" ca="1" si="146"/>
        <v>107.33477175978727</v>
      </c>
      <c r="U348" s="364">
        <f t="shared" ca="1" si="147"/>
        <v>0</v>
      </c>
      <c r="V348" s="359">
        <f t="shared" ca="1" si="148"/>
        <v>1.1768170983480783</v>
      </c>
      <c r="W348" s="357">
        <f t="shared" ca="1" si="149"/>
        <v>129.23759822067561</v>
      </c>
      <c r="X348" s="343"/>
      <c r="Y348" s="367" t="str">
        <f t="shared" ca="1" si="167"/>
        <v/>
      </c>
      <c r="Z348" s="368" t="str">
        <f t="shared" ca="1" si="168"/>
        <v/>
      </c>
      <c r="AA348" s="369" t="str">
        <f t="shared" ca="1" si="169"/>
        <v/>
      </c>
      <c r="AB348" s="344"/>
      <c r="AC348" s="363" t="e">
        <f t="shared" ca="1" si="170"/>
        <v>#N/A</v>
      </c>
      <c r="AD348" s="376" t="e">
        <f t="shared" ca="1" si="171"/>
        <v>#N/A</v>
      </c>
      <c r="AE348" s="377">
        <f t="shared" ca="1" si="150"/>
        <v>401.22040670841454</v>
      </c>
      <c r="AF348" s="344"/>
      <c r="AG348" s="359">
        <f t="shared" ca="1" si="172"/>
        <v>41.122700777891055</v>
      </c>
      <c r="AH348" s="357">
        <f t="shared" ca="1" si="173"/>
        <v>50.658149069375654</v>
      </c>
    </row>
    <row r="349" spans="1:34" x14ac:dyDescent="0.25">
      <c r="A349" s="402">
        <f t="shared" ca="1" si="151"/>
        <v>0.01</v>
      </c>
      <c r="B349" s="357">
        <f t="shared" ca="1" si="152"/>
        <v>3.4499999999999704</v>
      </c>
      <c r="C349" s="342"/>
      <c r="D349" s="359">
        <f t="shared" ca="1" si="153"/>
        <v>11.872097030746673</v>
      </c>
      <c r="E349" s="360">
        <f t="shared" ca="1" si="154"/>
        <v>39.288390115537347</v>
      </c>
      <c r="F349" s="357">
        <f t="shared" ca="1" si="155"/>
        <v>41.042956591577521</v>
      </c>
      <c r="G349" s="359">
        <f t="shared" ca="1" si="156"/>
        <v>51.66070628072147</v>
      </c>
      <c r="H349" s="360">
        <f t="shared" ca="1" si="157"/>
        <v>213.55055061716286</v>
      </c>
      <c r="I349" s="357">
        <f t="shared" ca="1" si="158"/>
        <v>219.71041450581356</v>
      </c>
      <c r="J349" s="359">
        <f t="shared" ca="1" si="159"/>
        <v>90.800787130847368</v>
      </c>
      <c r="K349" s="360">
        <f t="shared" ca="1" si="160"/>
        <v>403.35394779508039</v>
      </c>
      <c r="L349" s="357">
        <f t="shared" ca="1" si="145"/>
        <v>413.44792918269394</v>
      </c>
      <c r="M349" s="359">
        <f t="shared" ca="1" si="161"/>
        <v>1.3334430908037305</v>
      </c>
      <c r="N349" s="357">
        <f t="shared" ca="1" si="162"/>
        <v>76.400661323933548</v>
      </c>
      <c r="O349" s="343"/>
      <c r="P349" s="363">
        <f t="shared" ca="1" si="163"/>
        <v>11</v>
      </c>
      <c r="Q349" s="357">
        <f t="shared" ca="1" si="164"/>
        <v>681.75000000000387</v>
      </c>
      <c r="R349" s="359">
        <f t="shared" ca="1" si="165"/>
        <v>0.34151056885498665</v>
      </c>
      <c r="S349" s="360">
        <f t="shared" ca="1" si="166"/>
        <v>10.937947968703629</v>
      </c>
      <c r="T349" s="357">
        <f t="shared" ca="1" si="146"/>
        <v>107.3012695729826</v>
      </c>
      <c r="U349" s="364">
        <f t="shared" ca="1" si="147"/>
        <v>0</v>
      </c>
      <c r="V349" s="359">
        <f t="shared" ca="1" si="148"/>
        <v>1.1765659447644521</v>
      </c>
      <c r="W349" s="357">
        <f t="shared" ca="1" si="149"/>
        <v>129.69334850720404</v>
      </c>
      <c r="X349" s="343"/>
      <c r="Y349" s="367" t="str">
        <f t="shared" ca="1" si="167"/>
        <v/>
      </c>
      <c r="Z349" s="368" t="str">
        <f t="shared" ca="1" si="168"/>
        <v/>
      </c>
      <c r="AA349" s="369" t="str">
        <f t="shared" ca="1" si="169"/>
        <v/>
      </c>
      <c r="AB349" s="344"/>
      <c r="AC349" s="363" t="e">
        <f t="shared" ca="1" si="170"/>
        <v>#N/A</v>
      </c>
      <c r="AD349" s="376" t="e">
        <f t="shared" ca="1" si="171"/>
        <v>#N/A</v>
      </c>
      <c r="AE349" s="377">
        <f t="shared" ca="1" si="150"/>
        <v>403.35394779508039</v>
      </c>
      <c r="AF349" s="344"/>
      <c r="AG349" s="359">
        <f t="shared" ca="1" si="172"/>
        <v>40.978144663940384</v>
      </c>
      <c r="AH349" s="357">
        <f t="shared" ca="1" si="173"/>
        <v>50.513350708945843</v>
      </c>
    </row>
    <row r="350" spans="1:34" x14ac:dyDescent="0.25">
      <c r="A350" s="402">
        <f t="shared" ca="1" si="151"/>
        <v>0.01</v>
      </c>
      <c r="B350" s="357">
        <f t="shared" ca="1" si="152"/>
        <v>3.4599999999999702</v>
      </c>
      <c r="C350" s="342"/>
      <c r="D350" s="359">
        <f t="shared" ca="1" si="153"/>
        <v>11.84319701470333</v>
      </c>
      <c r="E350" s="360">
        <f t="shared" ca="1" si="154"/>
        <v>39.146381467460557</v>
      </c>
      <c r="F350" s="357">
        <f t="shared" ca="1" si="155"/>
        <v>40.898661317028669</v>
      </c>
      <c r="G350" s="359">
        <f t="shared" ca="1" si="156"/>
        <v>51.779138250868506</v>
      </c>
      <c r="H350" s="360">
        <f t="shared" ca="1" si="157"/>
        <v>213.94201443183746</v>
      </c>
      <c r="I350" s="357">
        <f t="shared" ca="1" si="158"/>
        <v>220.11875135288932</v>
      </c>
      <c r="J350" s="359">
        <f t="shared" ca="1" si="159"/>
        <v>91.317986353505319</v>
      </c>
      <c r="K350" s="360">
        <f t="shared" ca="1" si="160"/>
        <v>405.49141062032538</v>
      </c>
      <c r="L350" s="357">
        <f t="shared" ca="1" si="145"/>
        <v>415.64679563124304</v>
      </c>
      <c r="M350" s="359">
        <f t="shared" ca="1" si="161"/>
        <v>1.3333383003638197</v>
      </c>
      <c r="N350" s="357">
        <f t="shared" ca="1" si="162"/>
        <v>76.394657273993346</v>
      </c>
      <c r="O350" s="343"/>
      <c r="P350" s="363">
        <f t="shared" ca="1" si="163"/>
        <v>11</v>
      </c>
      <c r="Q350" s="357">
        <f t="shared" ca="1" si="164"/>
        <v>680.45000000000391</v>
      </c>
      <c r="R350" s="359">
        <f t="shared" ca="1" si="165"/>
        <v>0.34085935691584257</v>
      </c>
      <c r="S350" s="360">
        <f t="shared" ca="1" si="166"/>
        <v>10.93453937513447</v>
      </c>
      <c r="T350" s="357">
        <f t="shared" ca="1" si="146"/>
        <v>107.26783127006915</v>
      </c>
      <c r="U350" s="364">
        <f t="shared" ca="1" si="147"/>
        <v>0</v>
      </c>
      <c r="V350" s="359">
        <f t="shared" ca="1" si="148"/>
        <v>1.1763143821911224</v>
      </c>
      <c r="W350" s="357">
        <f t="shared" ca="1" si="149"/>
        <v>130.14803959562752</v>
      </c>
      <c r="X350" s="343"/>
      <c r="Y350" s="367" t="str">
        <f t="shared" ca="1" si="167"/>
        <v/>
      </c>
      <c r="Z350" s="368" t="str">
        <f t="shared" ca="1" si="168"/>
        <v/>
      </c>
      <c r="AA350" s="369" t="str">
        <f t="shared" ca="1" si="169"/>
        <v/>
      </c>
      <c r="AB350" s="344"/>
      <c r="AC350" s="363" t="e">
        <f t="shared" ca="1" si="170"/>
        <v>#N/A</v>
      </c>
      <c r="AD350" s="376" t="e">
        <f t="shared" ca="1" si="171"/>
        <v>#N/A</v>
      </c>
      <c r="AE350" s="377">
        <f t="shared" ca="1" si="150"/>
        <v>405.49141062032538</v>
      </c>
      <c r="AF350" s="344"/>
      <c r="AG350" s="359">
        <f t="shared" ca="1" si="172"/>
        <v>40.833563850973569</v>
      </c>
      <c r="AH350" s="357">
        <f t="shared" ca="1" si="173"/>
        <v>50.36852789110074</v>
      </c>
    </row>
    <row r="351" spans="1:34" x14ac:dyDescent="0.25">
      <c r="A351" s="402">
        <f t="shared" ca="1" si="151"/>
        <v>0.01</v>
      </c>
      <c r="B351" s="357">
        <f t="shared" ca="1" si="152"/>
        <v>3.46999999999997</v>
      </c>
      <c r="C351" s="342"/>
      <c r="D351" s="359">
        <f t="shared" ca="1" si="153"/>
        <v>11.814254550663728</v>
      </c>
      <c r="E351" s="360">
        <f t="shared" ca="1" si="154"/>
        <v>39.00435850348677</v>
      </c>
      <c r="F351" s="357">
        <f t="shared" ca="1" si="155"/>
        <v>40.754344466036983</v>
      </c>
      <c r="G351" s="359">
        <f t="shared" ca="1" si="156"/>
        <v>51.897280796375142</v>
      </c>
      <c r="H351" s="360">
        <f t="shared" ca="1" si="157"/>
        <v>214.33205801687234</v>
      </c>
      <c r="I351" s="357">
        <f t="shared" ca="1" si="158"/>
        <v>220.5256421548427</v>
      </c>
      <c r="J351" s="359">
        <f t="shared" ca="1" si="159"/>
        <v>91.836368448741538</v>
      </c>
      <c r="K351" s="360">
        <f t="shared" ca="1" si="160"/>
        <v>407.63278098256893</v>
      </c>
      <c r="L351" s="357">
        <f t="shared" ca="1" si="145"/>
        <v>417.84973698859261</v>
      </c>
      <c r="M351" s="359">
        <f t="shared" ca="1" si="161"/>
        <v>1.333233657964118</v>
      </c>
      <c r="N351" s="357">
        <f t="shared" ca="1" si="162"/>
        <v>76.388661706132311</v>
      </c>
      <c r="O351" s="343"/>
      <c r="P351" s="363">
        <f t="shared" ca="1" si="163"/>
        <v>11</v>
      </c>
      <c r="Q351" s="357">
        <f t="shared" ca="1" si="164"/>
        <v>679.15000000000396</v>
      </c>
      <c r="R351" s="359">
        <f t="shared" ca="1" si="165"/>
        <v>0.34020814497669855</v>
      </c>
      <c r="S351" s="360">
        <f t="shared" ca="1" si="166"/>
        <v>10.931137293684703</v>
      </c>
      <c r="T351" s="357">
        <f t="shared" ca="1" si="146"/>
        <v>107.23445685104694</v>
      </c>
      <c r="U351" s="364">
        <f t="shared" ca="1" si="147"/>
        <v>0</v>
      </c>
      <c r="V351" s="359">
        <f t="shared" ca="1" si="148"/>
        <v>1.1760624125725172</v>
      </c>
      <c r="W351" s="357">
        <f t="shared" ca="1" si="149"/>
        <v>130.60166192465434</v>
      </c>
      <c r="X351" s="343"/>
      <c r="Y351" s="367" t="str">
        <f t="shared" ca="1" si="167"/>
        <v/>
      </c>
      <c r="Z351" s="368" t="str">
        <f t="shared" ca="1" si="168"/>
        <v/>
      </c>
      <c r="AA351" s="369" t="str">
        <f t="shared" ca="1" si="169"/>
        <v/>
      </c>
      <c r="AB351" s="344"/>
      <c r="AC351" s="363" t="e">
        <f t="shared" ca="1" si="170"/>
        <v>#N/A</v>
      </c>
      <c r="AD351" s="376" t="e">
        <f t="shared" ca="1" si="171"/>
        <v>#N/A</v>
      </c>
      <c r="AE351" s="377">
        <f t="shared" ca="1" si="150"/>
        <v>407.63278098256893</v>
      </c>
      <c r="AF351" s="344"/>
      <c r="AG351" s="359">
        <f t="shared" ca="1" si="172"/>
        <v>40.688959457200447</v>
      </c>
      <c r="AH351" s="357">
        <f t="shared" ca="1" si="173"/>
        <v>50.223681731776793</v>
      </c>
    </row>
    <row r="352" spans="1:34" x14ac:dyDescent="0.25">
      <c r="A352" s="402">
        <f t="shared" ca="1" si="151"/>
        <v>0.01</v>
      </c>
      <c r="B352" s="357">
        <f t="shared" ca="1" si="152"/>
        <v>3.4799999999999698</v>
      </c>
      <c r="C352" s="342"/>
      <c r="D352" s="359">
        <f t="shared" ca="1" si="153"/>
        <v>11.785270014950564</v>
      </c>
      <c r="E352" s="360">
        <f t="shared" ca="1" si="154"/>
        <v>38.862322284086225</v>
      </c>
      <c r="F352" s="357">
        <f t="shared" ca="1" si="155"/>
        <v>40.610007173570871</v>
      </c>
      <c r="G352" s="359">
        <f t="shared" ca="1" si="156"/>
        <v>52.015133496524648</v>
      </c>
      <c r="H352" s="360">
        <f t="shared" ca="1" si="157"/>
        <v>214.7206812397132</v>
      </c>
      <c r="I352" s="357">
        <f t="shared" ca="1" si="158"/>
        <v>220.93108668702058</v>
      </c>
      <c r="J352" s="359">
        <f t="shared" ca="1" si="159"/>
        <v>92.355930520206044</v>
      </c>
      <c r="K352" s="360">
        <f t="shared" ca="1" si="160"/>
        <v>409.77804467885187</v>
      </c>
      <c r="L352" s="357">
        <f t="shared" ca="1" si="145"/>
        <v>420.05673879022135</v>
      </c>
      <c r="M352" s="359">
        <f t="shared" ca="1" si="161"/>
        <v>1.3331291624403201</v>
      </c>
      <c r="N352" s="357">
        <f t="shared" ca="1" si="162"/>
        <v>76.382674553640683</v>
      </c>
      <c r="O352" s="343"/>
      <c r="P352" s="363">
        <f t="shared" ca="1" si="163"/>
        <v>11</v>
      </c>
      <c r="Q352" s="357">
        <f t="shared" ca="1" si="164"/>
        <v>677.85000000000389</v>
      </c>
      <c r="R352" s="359">
        <f t="shared" ca="1" si="165"/>
        <v>0.33955693303755441</v>
      </c>
      <c r="S352" s="360">
        <f t="shared" ca="1" si="166"/>
        <v>10.927741724354327</v>
      </c>
      <c r="T352" s="357">
        <f t="shared" ca="1" si="146"/>
        <v>107.20114631591595</v>
      </c>
      <c r="U352" s="364">
        <f t="shared" ca="1" si="147"/>
        <v>0</v>
      </c>
      <c r="V352" s="359">
        <f t="shared" ca="1" si="148"/>
        <v>1.1758100378521787</v>
      </c>
      <c r="W352" s="357">
        <f t="shared" ca="1" si="149"/>
        <v>131.05420599100563</v>
      </c>
      <c r="X352" s="343"/>
      <c r="Y352" s="367" t="str">
        <f t="shared" ca="1" si="167"/>
        <v/>
      </c>
      <c r="Z352" s="368" t="str">
        <f t="shared" ca="1" si="168"/>
        <v/>
      </c>
      <c r="AA352" s="369" t="str">
        <f t="shared" ca="1" si="169"/>
        <v/>
      </c>
      <c r="AB352" s="344"/>
      <c r="AC352" s="363" t="e">
        <f t="shared" ca="1" si="170"/>
        <v>#N/A</v>
      </c>
      <c r="AD352" s="376" t="e">
        <f t="shared" ca="1" si="171"/>
        <v>#N/A</v>
      </c>
      <c r="AE352" s="377">
        <f t="shared" ca="1" si="150"/>
        <v>409.77804467885187</v>
      </c>
      <c r="AF352" s="344"/>
      <c r="AG352" s="359">
        <f t="shared" ca="1" si="172"/>
        <v>40.544332596987317</v>
      </c>
      <c r="AH352" s="357">
        <f t="shared" ca="1" si="173"/>
        <v>50.078813343082018</v>
      </c>
    </row>
    <row r="353" spans="1:34" x14ac:dyDescent="0.25">
      <c r="A353" s="402">
        <f t="shared" ca="1" si="151"/>
        <v>0.01</v>
      </c>
      <c r="B353" s="357">
        <f t="shared" ca="1" si="152"/>
        <v>3.4899999999999696</v>
      </c>
      <c r="C353" s="342"/>
      <c r="D353" s="359">
        <f t="shared" ca="1" si="153"/>
        <v>11.756243782355032</v>
      </c>
      <c r="E353" s="360">
        <f t="shared" ca="1" si="154"/>
        <v>38.720273866086963</v>
      </c>
      <c r="F353" s="357">
        <f t="shared" ca="1" si="155"/>
        <v>40.465650571008226</v>
      </c>
      <c r="G353" s="359">
        <f t="shared" ca="1" si="156"/>
        <v>52.132695934348199</v>
      </c>
      <c r="H353" s="360">
        <f t="shared" ca="1" si="157"/>
        <v>215.10788397837408</v>
      </c>
      <c r="I353" s="357">
        <f t="shared" ca="1" si="158"/>
        <v>221.33508473587472</v>
      </c>
      <c r="J353" s="359">
        <f t="shared" ca="1" si="159"/>
        <v>92.876669667360403</v>
      </c>
      <c r="K353" s="360">
        <f t="shared" ca="1" si="160"/>
        <v>411.92718750494231</v>
      </c>
      <c r="L353" s="357">
        <f t="shared" ca="1" si="145"/>
        <v>422.26778656941366</v>
      </c>
      <c r="M353" s="359">
        <f t="shared" ca="1" si="161"/>
        <v>1.3330248126367921</v>
      </c>
      <c r="N353" s="357">
        <f t="shared" ca="1" si="162"/>
        <v>76.376695750305515</v>
      </c>
      <c r="O353" s="343"/>
      <c r="P353" s="363">
        <f t="shared" ca="1" si="163"/>
        <v>11</v>
      </c>
      <c r="Q353" s="357">
        <f t="shared" ca="1" si="164"/>
        <v>676.55000000000393</v>
      </c>
      <c r="R353" s="359">
        <f t="shared" ca="1" si="165"/>
        <v>0.33890572109841033</v>
      </c>
      <c r="S353" s="360">
        <f t="shared" ca="1" si="166"/>
        <v>10.924352667143342</v>
      </c>
      <c r="T353" s="357">
        <f t="shared" ca="1" si="146"/>
        <v>107.1678996646762</v>
      </c>
      <c r="U353" s="364">
        <f t="shared" ca="1" si="147"/>
        <v>0</v>
      </c>
      <c r="V353" s="359">
        <f t="shared" ca="1" si="148"/>
        <v>1.1755572599727431</v>
      </c>
      <c r="W353" s="357">
        <f t="shared" ca="1" si="149"/>
        <v>131.50566234947621</v>
      </c>
      <c r="X353" s="343"/>
      <c r="Y353" s="367" t="str">
        <f t="shared" ca="1" si="167"/>
        <v/>
      </c>
      <c r="Z353" s="368" t="str">
        <f t="shared" ca="1" si="168"/>
        <v/>
      </c>
      <c r="AA353" s="369" t="str">
        <f t="shared" ca="1" si="169"/>
        <v/>
      </c>
      <c r="AB353" s="344"/>
      <c r="AC353" s="363" t="e">
        <f t="shared" ca="1" si="170"/>
        <v>#N/A</v>
      </c>
      <c r="AD353" s="376" t="e">
        <f t="shared" ca="1" si="171"/>
        <v>#N/A</v>
      </c>
      <c r="AE353" s="377">
        <f t="shared" ca="1" si="150"/>
        <v>411.92718750494231</v>
      </c>
      <c r="AF353" s="344"/>
      <c r="AG353" s="359">
        <f t="shared" ca="1" si="172"/>
        <v>40.399684380838679</v>
      </c>
      <c r="AH353" s="357">
        <f t="shared" ca="1" si="173"/>
        <v>49.933923833277561</v>
      </c>
    </row>
    <row r="354" spans="1:34" x14ac:dyDescent="0.25">
      <c r="A354" s="402">
        <f t="shared" ca="1" si="151"/>
        <v>0.01</v>
      </c>
      <c r="B354" s="357">
        <f t="shared" ca="1" si="152"/>
        <v>3.4999999999999694</v>
      </c>
      <c r="C354" s="342"/>
      <c r="D354" s="359">
        <f t="shared" ca="1" si="153"/>
        <v>11.727176226139887</v>
      </c>
      <c r="E354" s="360">
        <f t="shared" ca="1" si="154"/>
        <v>38.578214302656008</v>
      </c>
      <c r="F354" s="357">
        <f t="shared" ca="1" si="155"/>
        <v>40.321275786123053</v>
      </c>
      <c r="G354" s="359">
        <f t="shared" ca="1" si="156"/>
        <v>52.249967696609595</v>
      </c>
      <c r="H354" s="360">
        <f t="shared" ca="1" si="157"/>
        <v>215.49366612140062</v>
      </c>
      <c r="I354" s="357">
        <f t="shared" ca="1" si="158"/>
        <v>221.73763609892308</v>
      </c>
      <c r="J354" s="359">
        <f t="shared" ca="1" si="159"/>
        <v>93.398582985515191</v>
      </c>
      <c r="K354" s="360">
        <f t="shared" ca="1" si="160"/>
        <v>414.0801952554412</v>
      </c>
      <c r="L354" s="357">
        <f t="shared" ca="1" si="145"/>
        <v>424.4828658573706</v>
      </c>
      <c r="M354" s="359">
        <f t="shared" ca="1" si="161"/>
        <v>1.3329206074064721</v>
      </c>
      <c r="N354" s="357">
        <f t="shared" ca="1" si="162"/>
        <v>76.370725230404986</v>
      </c>
      <c r="O354" s="343"/>
      <c r="P354" s="363">
        <f t="shared" ca="1" si="163"/>
        <v>11</v>
      </c>
      <c r="Q354" s="357">
        <f t="shared" ca="1" si="164"/>
        <v>675.25000000000398</v>
      </c>
      <c r="R354" s="359">
        <f t="shared" ca="1" si="165"/>
        <v>0.33825450915926625</v>
      </c>
      <c r="S354" s="360">
        <f t="shared" ca="1" si="166"/>
        <v>10.920970122051749</v>
      </c>
      <c r="T354" s="357">
        <f t="shared" ca="1" si="146"/>
        <v>107.13471689732766</v>
      </c>
      <c r="U354" s="364">
        <f t="shared" ca="1" si="147"/>
        <v>0</v>
      </c>
      <c r="V354" s="359">
        <f t="shared" ca="1" si="148"/>
        <v>1.1753040808759232</v>
      </c>
      <c r="W354" s="357">
        <f t="shared" ca="1" si="149"/>
        <v>131.95602161299362</v>
      </c>
      <c r="X354" s="343"/>
      <c r="Y354" s="367" t="str">
        <f t="shared" ca="1" si="167"/>
        <v/>
      </c>
      <c r="Z354" s="368" t="str">
        <f t="shared" ca="1" si="168"/>
        <v/>
      </c>
      <c r="AA354" s="369" t="str">
        <f t="shared" ca="1" si="169"/>
        <v>Satellite</v>
      </c>
      <c r="AB354" s="344"/>
      <c r="AC354" s="363" t="e">
        <f t="shared" ca="1" si="170"/>
        <v>#N/A</v>
      </c>
      <c r="AD354" s="376" t="e">
        <f t="shared" ca="1" si="171"/>
        <v>#N/A</v>
      </c>
      <c r="AE354" s="377">
        <f t="shared" ca="1" si="150"/>
        <v>414.0801952554412</v>
      </c>
      <c r="AF354" s="344"/>
      <c r="AG354" s="359">
        <f t="shared" ca="1" si="172"/>
        <v>40.255015915379232</v>
      </c>
      <c r="AH354" s="357">
        <f t="shared" ca="1" si="173"/>
        <v>49.789014306759519</v>
      </c>
    </row>
    <row r="355" spans="1:34" x14ac:dyDescent="0.25">
      <c r="A355" s="402">
        <f t="shared" ca="1" si="151"/>
        <v>0.01</v>
      </c>
      <c r="B355" s="357">
        <f t="shared" ca="1" si="152"/>
        <v>3.5099999999999691</v>
      </c>
      <c r="C355" s="342"/>
      <c r="D355" s="359">
        <f t="shared" ca="1" si="153"/>
        <v>11.698067718042426</v>
      </c>
      <c r="E355" s="360">
        <f t="shared" ca="1" si="154"/>
        <v>38.436144643280656</v>
      </c>
      <c r="F355" s="357">
        <f t="shared" ca="1" si="155"/>
        <v>40.176883943072269</v>
      </c>
      <c r="G355" s="359">
        <f t="shared" ca="1" si="156"/>
        <v>52.366948373790017</v>
      </c>
      <c r="H355" s="360">
        <f t="shared" ca="1" si="157"/>
        <v>215.87802756783344</v>
      </c>
      <c r="I355" s="357">
        <f t="shared" ca="1" si="158"/>
        <v>222.1387405847108</v>
      </c>
      <c r="J355" s="359">
        <f t="shared" ca="1" si="159"/>
        <v>93.921667565867182</v>
      </c>
      <c r="K355" s="360">
        <f t="shared" ca="1" si="160"/>
        <v>416.23705372388736</v>
      </c>
      <c r="L355" s="357">
        <f t="shared" ca="1" si="145"/>
        <v>426.70196218332012</v>
      </c>
      <c r="M355" s="359">
        <f t="shared" ca="1" si="161"/>
        <v>1.3328165456107726</v>
      </c>
      <c r="N355" s="357">
        <f t="shared" ca="1" si="162"/>
        <v>76.364762928702859</v>
      </c>
      <c r="O355" s="343"/>
      <c r="P355" s="363">
        <f t="shared" ca="1" si="163"/>
        <v>11</v>
      </c>
      <c r="Q355" s="357">
        <f t="shared" ca="1" si="164"/>
        <v>673.95000000000402</v>
      </c>
      <c r="R355" s="359">
        <f t="shared" ca="1" si="165"/>
        <v>0.33760329722012222</v>
      </c>
      <c r="S355" s="360">
        <f t="shared" ca="1" si="166"/>
        <v>10.917594089079548</v>
      </c>
      <c r="T355" s="357">
        <f t="shared" ca="1" si="146"/>
        <v>107.10159801387037</v>
      </c>
      <c r="U355" s="364">
        <f t="shared" ca="1" si="147"/>
        <v>0</v>
      </c>
      <c r="V355" s="359">
        <f t="shared" ca="1" si="148"/>
        <v>1.1750505025024918</v>
      </c>
      <c r="W355" s="357">
        <f t="shared" ca="1" si="149"/>
        <v>132.40527445267435</v>
      </c>
      <c r="X355" s="343"/>
      <c r="Y355" s="367" t="str">
        <f t="shared" ca="1" si="167"/>
        <v/>
      </c>
      <c r="Z355" s="368" t="str">
        <f t="shared" ca="1" si="168"/>
        <v/>
      </c>
      <c r="AA355" s="369" t="str">
        <f t="shared" ca="1" si="169"/>
        <v/>
      </c>
      <c r="AB355" s="344"/>
      <c r="AC355" s="363" t="e">
        <f t="shared" ca="1" si="170"/>
        <v>#N/A</v>
      </c>
      <c r="AD355" s="376" t="e">
        <f t="shared" ca="1" si="171"/>
        <v>#N/A</v>
      </c>
      <c r="AE355" s="377">
        <f t="shared" ca="1" si="150"/>
        <v>416.23705372388736</v>
      </c>
      <c r="AF355" s="344"/>
      <c r="AG355" s="359">
        <f t="shared" ca="1" si="172"/>
        <v>40.11032830333599</v>
      </c>
      <c r="AH355" s="357">
        <f t="shared" ca="1" si="173"/>
        <v>49.644085864040896</v>
      </c>
    </row>
    <row r="356" spans="1:34" x14ac:dyDescent="0.25">
      <c r="A356" s="402">
        <f t="shared" ca="1" si="151"/>
        <v>0.01</v>
      </c>
      <c r="B356" s="357">
        <f t="shared" ca="1" si="152"/>
        <v>3.5199999999999689</v>
      </c>
      <c r="C356" s="342"/>
      <c r="D356" s="359">
        <f t="shared" ca="1" si="153"/>
        <v>11.668918628277456</v>
      </c>
      <c r="E356" s="360">
        <f t="shared" ca="1" si="154"/>
        <v>38.294065933750183</v>
      </c>
      <c r="F356" s="357">
        <f t="shared" ca="1" si="155"/>
        <v>40.032476162383048</v>
      </c>
      <c r="G356" s="359">
        <f t="shared" ca="1" si="156"/>
        <v>52.483637560072793</v>
      </c>
      <c r="H356" s="360">
        <f t="shared" ca="1" si="157"/>
        <v>216.26096822717093</v>
      </c>
      <c r="I356" s="357">
        <f t="shared" ca="1" si="158"/>
        <v>222.5383980127711</v>
      </c>
      <c r="J356" s="359">
        <f t="shared" ca="1" si="159"/>
        <v>94.445920495536498</v>
      </c>
      <c r="K356" s="360">
        <f t="shared" ca="1" si="160"/>
        <v>418.39774870286237</v>
      </c>
      <c r="L356" s="357">
        <f t="shared" ca="1" si="145"/>
        <v>428.92506107462731</v>
      </c>
      <c r="M356" s="359">
        <f t="shared" ca="1" si="161"/>
        <v>1.3327126261194835</v>
      </c>
      <c r="N356" s="357">
        <f t="shared" ca="1" si="162"/>
        <v>76.358808780442843</v>
      </c>
      <c r="O356" s="343"/>
      <c r="P356" s="363">
        <f t="shared" ca="1" si="163"/>
        <v>11</v>
      </c>
      <c r="Q356" s="357">
        <f t="shared" ca="1" si="164"/>
        <v>672.65000000000407</v>
      </c>
      <c r="R356" s="359">
        <f t="shared" ca="1" si="165"/>
        <v>0.33695208528097814</v>
      </c>
      <c r="S356" s="360">
        <f t="shared" ca="1" si="166"/>
        <v>10.914224568226739</v>
      </c>
      <c r="T356" s="357">
        <f t="shared" ca="1" si="146"/>
        <v>107.06854301430432</v>
      </c>
      <c r="U356" s="364">
        <f t="shared" ca="1" si="147"/>
        <v>0</v>
      </c>
      <c r="V356" s="359">
        <f t="shared" ca="1" si="148"/>
        <v>1.1747965267922589</v>
      </c>
      <c r="W356" s="357">
        <f t="shared" ca="1" si="149"/>
        <v>132.85341159787643</v>
      </c>
      <c r="X356" s="343"/>
      <c r="Y356" s="367" t="str">
        <f t="shared" ca="1" si="167"/>
        <v/>
      </c>
      <c r="Z356" s="368" t="str">
        <f t="shared" ca="1" si="168"/>
        <v/>
      </c>
      <c r="AA356" s="369" t="str">
        <f t="shared" ca="1" si="169"/>
        <v/>
      </c>
      <c r="AB356" s="344"/>
      <c r="AC356" s="363" t="e">
        <f t="shared" ca="1" si="170"/>
        <v>#N/A</v>
      </c>
      <c r="AD356" s="376" t="e">
        <f t="shared" ca="1" si="171"/>
        <v>#N/A</v>
      </c>
      <c r="AE356" s="377">
        <f t="shared" ca="1" si="150"/>
        <v>418.39774870286237</v>
      </c>
      <c r="AF356" s="344"/>
      <c r="AG356" s="359">
        <f t="shared" ca="1" si="172"/>
        <v>39.965622643520817</v>
      </c>
      <c r="AH356" s="357">
        <f t="shared" ca="1" si="173"/>
        <v>49.499139601733944</v>
      </c>
    </row>
    <row r="357" spans="1:34" x14ac:dyDescent="0.25">
      <c r="A357" s="402">
        <f t="shared" ca="1" si="151"/>
        <v>0.01</v>
      </c>
      <c r="B357" s="357">
        <f t="shared" ca="1" si="152"/>
        <v>3.5299999999999687</v>
      </c>
      <c r="C357" s="342"/>
      <c r="D357" s="359">
        <f t="shared" ca="1" si="153"/>
        <v>11.639729325540202</v>
      </c>
      <c r="E357" s="360">
        <f t="shared" ca="1" si="154"/>
        <v>38.151979216137775</v>
      </c>
      <c r="F357" s="357">
        <f t="shared" ca="1" si="155"/>
        <v>39.888053560940392</v>
      </c>
      <c r="G357" s="359">
        <f t="shared" ca="1" si="156"/>
        <v>52.600034853328197</v>
      </c>
      <c r="H357" s="360">
        <f t="shared" ca="1" si="157"/>
        <v>216.64248801933232</v>
      </c>
      <c r="I357" s="357">
        <f t="shared" ca="1" si="158"/>
        <v>222.93660821358588</v>
      </c>
      <c r="J357" s="359">
        <f t="shared" ca="1" si="159"/>
        <v>94.971338857603499</v>
      </c>
      <c r="K357" s="360">
        <f t="shared" ca="1" si="160"/>
        <v>420.56226598409489</v>
      </c>
      <c r="L357" s="357">
        <f t="shared" ca="1" si="145"/>
        <v>431.15214805690385</v>
      </c>
      <c r="M357" s="359">
        <f t="shared" ca="1" si="161"/>
        <v>1.3326088478106786</v>
      </c>
      <c r="N357" s="357">
        <f t="shared" ca="1" si="162"/>
        <v>76.352862721343314</v>
      </c>
      <c r="O357" s="343"/>
      <c r="P357" s="363">
        <f t="shared" ca="1" si="163"/>
        <v>11</v>
      </c>
      <c r="Q357" s="357">
        <f t="shared" ca="1" si="164"/>
        <v>671.35000000000412</v>
      </c>
      <c r="R357" s="359">
        <f t="shared" ca="1" si="165"/>
        <v>0.33630087334183406</v>
      </c>
      <c r="S357" s="360">
        <f t="shared" ca="1" si="166"/>
        <v>10.910861559493322</v>
      </c>
      <c r="T357" s="357">
        <f t="shared" ca="1" si="146"/>
        <v>107.03555189862949</v>
      </c>
      <c r="U357" s="364">
        <f t="shared" ca="1" si="147"/>
        <v>0</v>
      </c>
      <c r="V357" s="359">
        <f t="shared" ca="1" si="148"/>
        <v>1.1745421556840576</v>
      </c>
      <c r="W357" s="357">
        <f t="shared" ca="1" si="149"/>
        <v>133.30042383625081</v>
      </c>
      <c r="X357" s="343"/>
      <c r="Y357" s="367" t="str">
        <f t="shared" ca="1" si="167"/>
        <v/>
      </c>
      <c r="Z357" s="368" t="str">
        <f t="shared" ca="1" si="168"/>
        <v/>
      </c>
      <c r="AA357" s="369" t="str">
        <f t="shared" ca="1" si="169"/>
        <v/>
      </c>
      <c r="AB357" s="344"/>
      <c r="AC357" s="363" t="e">
        <f t="shared" ca="1" si="170"/>
        <v>#N/A</v>
      </c>
      <c r="AD357" s="376" t="e">
        <f t="shared" ca="1" si="171"/>
        <v>#N/A</v>
      </c>
      <c r="AE357" s="377">
        <f t="shared" ca="1" si="150"/>
        <v>420.56226598409489</v>
      </c>
      <c r="AF357" s="344"/>
      <c r="AG357" s="359">
        <f t="shared" ca="1" si="172"/>
        <v>39.820900030813128</v>
      </c>
      <c r="AH357" s="357">
        <f t="shared" ca="1" si="173"/>
        <v>49.354176612532733</v>
      </c>
    </row>
    <row r="358" spans="1:34" x14ac:dyDescent="0.25">
      <c r="A358" s="402">
        <f t="shared" ca="1" si="151"/>
        <v>0.01</v>
      </c>
      <c r="B358" s="357">
        <f t="shared" ca="1" si="152"/>
        <v>3.5399999999999685</v>
      </c>
      <c r="C358" s="342"/>
      <c r="D358" s="359">
        <f t="shared" ca="1" si="153"/>
        <v>11.610500177009017</v>
      </c>
      <c r="E358" s="360">
        <f t="shared" ca="1" si="154"/>
        <v>38.00988552878264</v>
      </c>
      <c r="F358" s="357">
        <f t="shared" ca="1" si="155"/>
        <v>39.743617251975017</v>
      </c>
      <c r="G358" s="359">
        <f t="shared" ca="1" si="156"/>
        <v>52.716139855098284</v>
      </c>
      <c r="H358" s="360">
        <f t="shared" ca="1" si="157"/>
        <v>217.02258687462015</v>
      </c>
      <c r="I358" s="357">
        <f t="shared" ca="1" si="158"/>
        <v>223.33337102854631</v>
      </c>
      <c r="J358" s="359">
        <f t="shared" ca="1" si="159"/>
        <v>95.497919731145629</v>
      </c>
      <c r="K358" s="360">
        <f t="shared" ca="1" si="160"/>
        <v>422.73059135856465</v>
      </c>
      <c r="L358" s="357">
        <f t="shared" ca="1" si="145"/>
        <v>433.3832086541172</v>
      </c>
      <c r="M358" s="359">
        <f t="shared" ca="1" si="161"/>
        <v>1.3325052095706207</v>
      </c>
      <c r="N358" s="357">
        <f t="shared" ca="1" si="162"/>
        <v>76.346924687591837</v>
      </c>
      <c r="O358" s="343"/>
      <c r="P358" s="363">
        <f t="shared" ca="1" si="163"/>
        <v>11</v>
      </c>
      <c r="Q358" s="357">
        <f t="shared" ca="1" si="164"/>
        <v>670.05000000000405</v>
      </c>
      <c r="R358" s="359">
        <f t="shared" ca="1" si="165"/>
        <v>0.33564966140268998</v>
      </c>
      <c r="S358" s="360">
        <f t="shared" ca="1" si="166"/>
        <v>10.907505062879295</v>
      </c>
      <c r="T358" s="357">
        <f t="shared" ca="1" si="146"/>
        <v>107.00262466684589</v>
      </c>
      <c r="U358" s="364">
        <f t="shared" ca="1" si="147"/>
        <v>0</v>
      </c>
      <c r="V358" s="359">
        <f t="shared" ca="1" si="148"/>
        <v>1.174287391115725</v>
      </c>
      <c r="W358" s="357">
        <f t="shared" ca="1" si="149"/>
        <v>133.74630201378895</v>
      </c>
      <c r="X358" s="343"/>
      <c r="Y358" s="367" t="str">
        <f t="shared" ca="1" si="167"/>
        <v/>
      </c>
      <c r="Z358" s="368" t="str">
        <f t="shared" ca="1" si="168"/>
        <v/>
      </c>
      <c r="AA358" s="369" t="str">
        <f t="shared" ca="1" si="169"/>
        <v/>
      </c>
      <c r="AB358" s="344"/>
      <c r="AC358" s="363" t="e">
        <f t="shared" ca="1" si="170"/>
        <v>#N/A</v>
      </c>
      <c r="AD358" s="376" t="e">
        <f t="shared" ca="1" si="171"/>
        <v>#N/A</v>
      </c>
      <c r="AE358" s="377">
        <f t="shared" ca="1" si="150"/>
        <v>422.73059135856465</v>
      </c>
      <c r="AF358" s="344"/>
      <c r="AG358" s="359">
        <f t="shared" ca="1" si="172"/>
        <v>39.676161556142745</v>
      </c>
      <c r="AH358" s="357">
        <f t="shared" ca="1" si="173"/>
        <v>49.209197985195836</v>
      </c>
    </row>
    <row r="359" spans="1:34" x14ac:dyDescent="0.25">
      <c r="A359" s="402">
        <f t="shared" ca="1" si="151"/>
        <v>0.01</v>
      </c>
      <c r="B359" s="357">
        <f t="shared" ca="1" si="152"/>
        <v>3.5499999999999683</v>
      </c>
      <c r="C359" s="342"/>
      <c r="D359" s="359">
        <f t="shared" ca="1" si="153"/>
        <v>11.581231548348228</v>
      </c>
      <c r="E359" s="360">
        <f t="shared" ca="1" si="154"/>
        <v>37.867785906272502</v>
      </c>
      <c r="F359" s="357">
        <f t="shared" ca="1" si="155"/>
        <v>39.599168345051723</v>
      </c>
      <c r="G359" s="359">
        <f t="shared" ca="1" si="156"/>
        <v>52.831952170581765</v>
      </c>
      <c r="H359" s="360">
        <f t="shared" ca="1" si="157"/>
        <v>217.40126473368286</v>
      </c>
      <c r="I359" s="357">
        <f t="shared" ca="1" si="158"/>
        <v>223.72868630991312</v>
      </c>
      <c r="J359" s="359">
        <f t="shared" ca="1" si="159"/>
        <v>96.025660191274028</v>
      </c>
      <c r="K359" s="360">
        <f t="shared" ca="1" si="160"/>
        <v>424.90271061660616</v>
      </c>
      <c r="L359" s="357">
        <f t="shared" ca="1" si="145"/>
        <v>435.61822838869978</v>
      </c>
      <c r="M359" s="359">
        <f t="shared" ca="1" si="161"/>
        <v>1.3324017102936692</v>
      </c>
      <c r="N359" s="357">
        <f t="shared" ca="1" si="162"/>
        <v>76.340994615839861</v>
      </c>
      <c r="O359" s="343"/>
      <c r="P359" s="363">
        <f t="shared" ca="1" si="163"/>
        <v>11</v>
      </c>
      <c r="Q359" s="357">
        <f t="shared" ca="1" si="164"/>
        <v>668.75000000000409</v>
      </c>
      <c r="R359" s="359">
        <f t="shared" ca="1" si="165"/>
        <v>0.3349984494635459</v>
      </c>
      <c r="S359" s="360">
        <f t="shared" ca="1" si="166"/>
        <v>10.90415507838466</v>
      </c>
      <c r="T359" s="357">
        <f t="shared" ca="1" si="146"/>
        <v>106.96976131895352</v>
      </c>
      <c r="U359" s="364">
        <f t="shared" ca="1" si="147"/>
        <v>0</v>
      </c>
      <c r="V359" s="359">
        <f t="shared" ca="1" si="148"/>
        <v>1.1740322350240826</v>
      </c>
      <c r="W359" s="357">
        <f t="shared" ca="1" si="149"/>
        <v>134.19103703486817</v>
      </c>
      <c r="X359" s="343"/>
      <c r="Y359" s="367" t="str">
        <f t="shared" ca="1" si="167"/>
        <v/>
      </c>
      <c r="Z359" s="368" t="str">
        <f t="shared" ca="1" si="168"/>
        <v/>
      </c>
      <c r="AA359" s="369" t="str">
        <f t="shared" ca="1" si="169"/>
        <v/>
      </c>
      <c r="AB359" s="344"/>
      <c r="AC359" s="363" t="e">
        <f t="shared" ca="1" si="170"/>
        <v>#N/A</v>
      </c>
      <c r="AD359" s="376" t="e">
        <f t="shared" ca="1" si="171"/>
        <v>#N/A</v>
      </c>
      <c r="AE359" s="377">
        <f t="shared" ca="1" si="150"/>
        <v>424.90271061660616</v>
      </c>
      <c r="AF359" s="344"/>
      <c r="AG359" s="359">
        <f t="shared" ca="1" si="172"/>
        <v>39.531408306473224</v>
      </c>
      <c r="AH359" s="357">
        <f t="shared" ca="1" si="173"/>
        <v>49.064204804529474</v>
      </c>
    </row>
    <row r="360" spans="1:34" x14ac:dyDescent="0.25">
      <c r="A360" s="402">
        <f t="shared" ca="1" si="151"/>
        <v>0.01</v>
      </c>
      <c r="B360" s="357">
        <f t="shared" ca="1" si="152"/>
        <v>3.5599999999999681</v>
      </c>
      <c r="C360" s="342"/>
      <c r="D360" s="359">
        <f t="shared" ca="1" si="153"/>
        <v>11.551923803710787</v>
      </c>
      <c r="E360" s="360">
        <f t="shared" ca="1" si="154"/>
        <v>37.725681379426227</v>
      </c>
      <c r="F360" s="357">
        <f t="shared" ca="1" si="155"/>
        <v>39.45470794605793</v>
      </c>
      <c r="G360" s="359">
        <f t="shared" ca="1" si="156"/>
        <v>52.947471408618874</v>
      </c>
      <c r="H360" s="360">
        <f t="shared" ca="1" si="157"/>
        <v>217.77852154747714</v>
      </c>
      <c r="I360" s="357">
        <f t="shared" ca="1" si="158"/>
        <v>224.12255392077674</v>
      </c>
      <c r="J360" s="359">
        <f t="shared" ca="1" si="159"/>
        <v>96.554557309170036</v>
      </c>
      <c r="K360" s="360">
        <f t="shared" ca="1" si="160"/>
        <v>427.07860954801197</v>
      </c>
      <c r="L360" s="357">
        <f t="shared" ca="1" si="145"/>
        <v>437.85719278165692</v>
      </c>
      <c r="M360" s="359">
        <f t="shared" ca="1" si="161"/>
        <v>1.3322983488821896</v>
      </c>
      <c r="N360" s="357">
        <f t="shared" ca="1" si="162"/>
        <v>76.335072443197561</v>
      </c>
      <c r="O360" s="343"/>
      <c r="P360" s="363">
        <f t="shared" ca="1" si="163"/>
        <v>11</v>
      </c>
      <c r="Q360" s="357">
        <f t="shared" ca="1" si="164"/>
        <v>667.45000000000414</v>
      </c>
      <c r="R360" s="359">
        <f t="shared" ca="1" si="165"/>
        <v>0.33434723752440182</v>
      </c>
      <c r="S360" s="360">
        <f t="shared" ca="1" si="166"/>
        <v>10.900811606009416</v>
      </c>
      <c r="T360" s="357">
        <f t="shared" ca="1" si="146"/>
        <v>106.93696185495237</v>
      </c>
      <c r="U360" s="364">
        <f t="shared" ca="1" si="147"/>
        <v>0</v>
      </c>
      <c r="V360" s="359">
        <f t="shared" ca="1" si="148"/>
        <v>1.1737766893449197</v>
      </c>
      <c r="W360" s="357">
        <f t="shared" ca="1" si="149"/>
        <v>134.63461986229436</v>
      </c>
      <c r="X360" s="343"/>
      <c r="Y360" s="367" t="str">
        <f t="shared" ca="1" si="167"/>
        <v/>
      </c>
      <c r="Z360" s="368" t="str">
        <f t="shared" ca="1" si="168"/>
        <v/>
      </c>
      <c r="AA360" s="369" t="str">
        <f t="shared" ca="1" si="169"/>
        <v/>
      </c>
      <c r="AB360" s="344"/>
      <c r="AC360" s="363" t="e">
        <f t="shared" ca="1" si="170"/>
        <v>#N/A</v>
      </c>
      <c r="AD360" s="376" t="e">
        <f t="shared" ca="1" si="171"/>
        <v>#N/A</v>
      </c>
      <c r="AE360" s="377">
        <f t="shared" ca="1" si="150"/>
        <v>427.07860954801197</v>
      </c>
      <c r="AF360" s="344"/>
      <c r="AG360" s="359">
        <f t="shared" ca="1" si="172"/>
        <v>39.386641364785156</v>
      </c>
      <c r="AH360" s="357">
        <f t="shared" ca="1" si="173"/>
        <v>48.919198151370693</v>
      </c>
    </row>
    <row r="361" spans="1:34" x14ac:dyDescent="0.25">
      <c r="A361" s="402">
        <f t="shared" ca="1" si="151"/>
        <v>0.01</v>
      </c>
      <c r="B361" s="357">
        <f t="shared" ca="1" si="152"/>
        <v>3.5699999999999679</v>
      </c>
      <c r="C361" s="342"/>
      <c r="D361" s="359">
        <f t="shared" ca="1" si="153"/>
        <v>11.52257730574088</v>
      </c>
      <c r="E361" s="360">
        <f t="shared" ca="1" si="154"/>
        <v>37.58357297527683</v>
      </c>
      <c r="F361" s="357">
        <f t="shared" ca="1" si="155"/>
        <v>39.310237157192702</v>
      </c>
      <c r="G361" s="359">
        <f t="shared" ca="1" si="156"/>
        <v>53.062697181676285</v>
      </c>
      <c r="H361" s="360">
        <f t="shared" ca="1" si="157"/>
        <v>218.15435727722991</v>
      </c>
      <c r="I361" s="357">
        <f t="shared" ca="1" si="158"/>
        <v>224.51497373501741</v>
      </c>
      <c r="J361" s="359">
        <f t="shared" ca="1" si="159"/>
        <v>97.084608152121518</v>
      </c>
      <c r="K361" s="360">
        <f t="shared" ca="1" si="160"/>
        <v>429.25827394213553</v>
      </c>
      <c r="L361" s="357">
        <f t="shared" ca="1" si="145"/>
        <v>440.1000873526753</v>
      </c>
      <c r="M361" s="359">
        <f t="shared" ca="1" si="161"/>
        <v>1.3321951242464625</v>
      </c>
      <c r="N361" s="357">
        <f t="shared" ca="1" si="162"/>
        <v>76.329158107228622</v>
      </c>
      <c r="O361" s="343"/>
      <c r="P361" s="363">
        <f t="shared" ca="1" si="163"/>
        <v>11</v>
      </c>
      <c r="Q361" s="357">
        <f t="shared" ca="1" si="164"/>
        <v>666.15000000000418</v>
      </c>
      <c r="R361" s="359">
        <f t="shared" ca="1" si="165"/>
        <v>0.33369602558525779</v>
      </c>
      <c r="S361" s="360">
        <f t="shared" ca="1" si="166"/>
        <v>10.897474645753563</v>
      </c>
      <c r="T361" s="357">
        <f t="shared" ca="1" si="146"/>
        <v>106.90422627484246</v>
      </c>
      <c r="U361" s="364">
        <f t="shared" ca="1" si="147"/>
        <v>0</v>
      </c>
      <c r="V361" s="359">
        <f t="shared" ca="1" si="148"/>
        <v>1.1735207560129746</v>
      </c>
      <c r="W361" s="357">
        <f t="shared" ca="1" si="149"/>
        <v>135.077041517342</v>
      </c>
      <c r="X361" s="343"/>
      <c r="Y361" s="367" t="str">
        <f t="shared" ca="1" si="167"/>
        <v/>
      </c>
      <c r="Z361" s="368" t="str">
        <f t="shared" ca="1" si="168"/>
        <v/>
      </c>
      <c r="AA361" s="369" t="str">
        <f t="shared" ca="1" si="169"/>
        <v/>
      </c>
      <c r="AB361" s="344"/>
      <c r="AC361" s="363" t="e">
        <f t="shared" ca="1" si="170"/>
        <v>#N/A</v>
      </c>
      <c r="AD361" s="376" t="e">
        <f t="shared" ca="1" si="171"/>
        <v>#N/A</v>
      </c>
      <c r="AE361" s="377">
        <f t="shared" ca="1" si="150"/>
        <v>429.25827394213553</v>
      </c>
      <c r="AF361" s="344"/>
      <c r="AG361" s="359">
        <f t="shared" ca="1" si="172"/>
        <v>39.241861810059902</v>
      </c>
      <c r="AH361" s="357">
        <f t="shared" ca="1" si="173"/>
        <v>48.774179102570912</v>
      </c>
    </row>
    <row r="362" spans="1:34" x14ac:dyDescent="0.25">
      <c r="A362" s="402">
        <f t="shared" ca="1" si="151"/>
        <v>0.01</v>
      </c>
      <c r="B362" s="357">
        <f t="shared" ca="1" si="152"/>
        <v>3.5799999999999677</v>
      </c>
      <c r="C362" s="342"/>
      <c r="D362" s="359">
        <f t="shared" ca="1" si="153"/>
        <v>11.493192415576576</v>
      </c>
      <c r="E362" s="360">
        <f t="shared" ca="1" si="154"/>
        <v>37.441461717054672</v>
      </c>
      <c r="F362" s="357">
        <f t="shared" ca="1" si="155"/>
        <v>39.165757076956112</v>
      </c>
      <c r="G362" s="359">
        <f t="shared" ca="1" si="156"/>
        <v>53.177629105832054</v>
      </c>
      <c r="H362" s="360">
        <f t="shared" ca="1" si="157"/>
        <v>218.52877189440045</v>
      </c>
      <c r="I362" s="357">
        <f t="shared" ca="1" si="158"/>
        <v>224.90594563726486</v>
      </c>
      <c r="J362" s="359">
        <f t="shared" ca="1" si="159"/>
        <v>97.615809783559058</v>
      </c>
      <c r="K362" s="360">
        <f t="shared" ca="1" si="160"/>
        <v>431.44168958799366</v>
      </c>
      <c r="L362" s="357">
        <f t="shared" ca="1" si="145"/>
        <v>442.34689762023049</v>
      </c>
      <c r="M362" s="359">
        <f t="shared" ca="1" si="161"/>
        <v>1.3320920353045955</v>
      </c>
      <c r="N362" s="357">
        <f t="shared" ca="1" si="162"/>
        <v>76.323251545945183</v>
      </c>
      <c r="O362" s="343"/>
      <c r="P362" s="363">
        <f t="shared" ca="1" si="163"/>
        <v>11</v>
      </c>
      <c r="Q362" s="357">
        <f t="shared" ca="1" si="164"/>
        <v>664.85000000000423</v>
      </c>
      <c r="R362" s="359">
        <f t="shared" ca="1" si="165"/>
        <v>0.33304481364611371</v>
      </c>
      <c r="S362" s="360">
        <f t="shared" ca="1" si="166"/>
        <v>10.894144197617102</v>
      </c>
      <c r="T362" s="357">
        <f t="shared" ca="1" si="146"/>
        <v>106.87155457862377</v>
      </c>
      <c r="U362" s="364">
        <f t="shared" ca="1" si="147"/>
        <v>0</v>
      </c>
      <c r="V362" s="359">
        <f t="shared" ca="1" si="148"/>
        <v>1.1732644369619176</v>
      </c>
      <c r="W362" s="357">
        <f t="shared" ca="1" si="149"/>
        <v>135.51829307979159</v>
      </c>
      <c r="X362" s="343"/>
      <c r="Y362" s="367" t="str">
        <f t="shared" ca="1" si="167"/>
        <v/>
      </c>
      <c r="Z362" s="368" t="str">
        <f t="shared" ca="1" si="168"/>
        <v/>
      </c>
      <c r="AA362" s="369" t="str">
        <f t="shared" ca="1" si="169"/>
        <v/>
      </c>
      <c r="AB362" s="344"/>
      <c r="AC362" s="363" t="e">
        <f t="shared" ca="1" si="170"/>
        <v>#N/A</v>
      </c>
      <c r="AD362" s="376" t="e">
        <f t="shared" ca="1" si="171"/>
        <v>#N/A</v>
      </c>
      <c r="AE362" s="377">
        <f t="shared" ca="1" si="150"/>
        <v>431.44168958799366</v>
      </c>
      <c r="AF362" s="344"/>
      <c r="AG362" s="359">
        <f t="shared" ca="1" si="172"/>
        <v>39.097070717263584</v>
      </c>
      <c r="AH362" s="357">
        <f t="shared" ca="1" si="173"/>
        <v>48.629148730979765</v>
      </c>
    </row>
    <row r="363" spans="1:34" x14ac:dyDescent="0.25">
      <c r="A363" s="402">
        <f t="shared" ca="1" si="151"/>
        <v>0.01</v>
      </c>
      <c r="B363" s="357">
        <f t="shared" ca="1" si="152"/>
        <v>3.5899999999999674</v>
      </c>
      <c r="C363" s="342"/>
      <c r="D363" s="359">
        <f t="shared" ca="1" si="153"/>
        <v>11.463769492852279</v>
      </c>
      <c r="E363" s="360">
        <f t="shared" ca="1" si="154"/>
        <v>37.299348624170939</v>
      </c>
      <c r="F363" s="357">
        <f t="shared" ca="1" si="155"/>
        <v>39.021268800138898</v>
      </c>
      <c r="G363" s="359">
        <f t="shared" ca="1" si="156"/>
        <v>53.292266800760579</v>
      </c>
      <c r="H363" s="360">
        <f t="shared" ca="1" si="157"/>
        <v>218.90176538064216</v>
      </c>
      <c r="I363" s="357">
        <f t="shared" ca="1" si="158"/>
        <v>225.29546952285827</v>
      </c>
      <c r="J363" s="359">
        <f t="shared" ca="1" si="159"/>
        <v>98.148159263092026</v>
      </c>
      <c r="K363" s="360">
        <f t="shared" ca="1" si="160"/>
        <v>433.62884227436888</v>
      </c>
      <c r="L363" s="357">
        <f t="shared" ca="1" si="145"/>
        <v>444.59760910169405</v>
      </c>
      <c r="M363" s="359">
        <f t="shared" ca="1" si="161"/>
        <v>1.331989080982436</v>
      </c>
      <c r="N363" s="357">
        <f t="shared" ca="1" si="162"/>
        <v>76.317352697802804</v>
      </c>
      <c r="O363" s="343"/>
      <c r="P363" s="363">
        <f t="shared" ca="1" si="163"/>
        <v>11</v>
      </c>
      <c r="Q363" s="357">
        <f t="shared" ca="1" si="164"/>
        <v>663.55000000000427</v>
      </c>
      <c r="R363" s="359">
        <f t="shared" ca="1" si="165"/>
        <v>0.33239360170696963</v>
      </c>
      <c r="S363" s="360">
        <f t="shared" ca="1" si="166"/>
        <v>10.890820261600032</v>
      </c>
      <c r="T363" s="357">
        <f t="shared" ca="1" si="146"/>
        <v>106.83894676629632</v>
      </c>
      <c r="U363" s="364">
        <f t="shared" ca="1" si="147"/>
        <v>0</v>
      </c>
      <c r="V363" s="359">
        <f t="shared" ca="1" si="148"/>
        <v>1.1730077341243343</v>
      </c>
      <c r="W363" s="357">
        <f t="shared" ca="1" si="149"/>
        <v>135.95836568796477</v>
      </c>
      <c r="X363" s="343"/>
      <c r="Y363" s="367" t="str">
        <f t="shared" ca="1" si="167"/>
        <v/>
      </c>
      <c r="Z363" s="368" t="str">
        <f t="shared" ca="1" si="168"/>
        <v/>
      </c>
      <c r="AA363" s="369" t="str">
        <f t="shared" ca="1" si="169"/>
        <v/>
      </c>
      <c r="AB363" s="344"/>
      <c r="AC363" s="363" t="e">
        <f t="shared" ca="1" si="170"/>
        <v>#N/A</v>
      </c>
      <c r="AD363" s="376" t="e">
        <f t="shared" ca="1" si="171"/>
        <v>#N/A</v>
      </c>
      <c r="AE363" s="377">
        <f t="shared" ca="1" si="150"/>
        <v>433.62884227436888</v>
      </c>
      <c r="AF363" s="344"/>
      <c r="AG363" s="359">
        <f t="shared" ca="1" si="172"/>
        <v>38.952269157331123</v>
      </c>
      <c r="AH363" s="357">
        <f t="shared" ca="1" si="173"/>
        <v>48.484108105429016</v>
      </c>
    </row>
    <row r="364" spans="1:34" x14ac:dyDescent="0.25">
      <c r="A364" s="402">
        <f t="shared" ca="1" si="151"/>
        <v>0.01</v>
      </c>
      <c r="B364" s="357">
        <f t="shared" ca="1" si="152"/>
        <v>3.5999999999999672</v>
      </c>
      <c r="C364" s="342"/>
      <c r="D364" s="359">
        <f t="shared" ca="1" si="153"/>
        <v>11.434308895701218</v>
      </c>
      <c r="E364" s="360">
        <f t="shared" ca="1" si="154"/>
        <v>37.157234712201344</v>
      </c>
      <c r="F364" s="357">
        <f t="shared" ca="1" si="155"/>
        <v>38.876773417812494</v>
      </c>
      <c r="G364" s="359">
        <f t="shared" ca="1" si="156"/>
        <v>53.406609889717593</v>
      </c>
      <c r="H364" s="360">
        <f t="shared" ca="1" si="157"/>
        <v>219.27333772776419</v>
      </c>
      <c r="I364" s="357">
        <f t="shared" ca="1" si="158"/>
        <v>225.68354529780547</v>
      </c>
      <c r="J364" s="359">
        <f t="shared" ca="1" si="159"/>
        <v>98.681653646544419</v>
      </c>
      <c r="K364" s="360">
        <f t="shared" ca="1" si="160"/>
        <v>435.8197177899109</v>
      </c>
      <c r="L364" s="357">
        <f t="shared" ca="1" si="145"/>
        <v>446.8522073134406</v>
      </c>
      <c r="M364" s="359">
        <f t="shared" ca="1" si="161"/>
        <v>1.3318862602134831</v>
      </c>
      <c r="N364" s="357">
        <f t="shared" ca="1" si="162"/>
        <v>76.311461501695518</v>
      </c>
      <c r="O364" s="343"/>
      <c r="P364" s="363">
        <f t="shared" ca="1" si="163"/>
        <v>11</v>
      </c>
      <c r="Q364" s="357">
        <f t="shared" ca="1" si="164"/>
        <v>662.25000000000421</v>
      </c>
      <c r="R364" s="359">
        <f t="shared" ca="1" si="165"/>
        <v>0.33174238976782555</v>
      </c>
      <c r="S364" s="360">
        <f t="shared" ca="1" si="166"/>
        <v>10.887502837702353</v>
      </c>
      <c r="T364" s="357">
        <f t="shared" ca="1" si="146"/>
        <v>106.80640283786009</v>
      </c>
      <c r="U364" s="364">
        <f t="shared" ca="1" si="147"/>
        <v>0</v>
      </c>
      <c r="V364" s="359">
        <f t="shared" ca="1" si="148"/>
        <v>1.1727506494317053</v>
      </c>
      <c r="W364" s="357">
        <f t="shared" ca="1" si="149"/>
        <v>136.39725053875614</v>
      </c>
      <c r="X364" s="343"/>
      <c r="Y364" s="367" t="str">
        <f t="shared" ca="1" si="167"/>
        <v/>
      </c>
      <c r="Z364" s="368" t="str">
        <f t="shared" ca="1" si="168"/>
        <v/>
      </c>
      <c r="AA364" s="369" t="str">
        <f t="shared" ca="1" si="169"/>
        <v/>
      </c>
      <c r="AB364" s="344"/>
      <c r="AC364" s="363" t="e">
        <f t="shared" ca="1" si="170"/>
        <v>#N/A</v>
      </c>
      <c r="AD364" s="376" t="e">
        <f t="shared" ca="1" si="171"/>
        <v>#N/A</v>
      </c>
      <c r="AE364" s="377">
        <f t="shared" ca="1" si="150"/>
        <v>435.8197177899109</v>
      </c>
      <c r="AF364" s="344"/>
      <c r="AG364" s="359">
        <f t="shared" ca="1" si="172"/>
        <v>38.807458197150751</v>
      </c>
      <c r="AH364" s="357">
        <f t="shared" ca="1" si="173"/>
        <v>48.339058290716871</v>
      </c>
    </row>
    <row r="365" spans="1:34" x14ac:dyDescent="0.25">
      <c r="A365" s="402">
        <f t="shared" ca="1" si="151"/>
        <v>0.01</v>
      </c>
      <c r="B365" s="357">
        <f t="shared" ca="1" si="152"/>
        <v>3.609999999999967</v>
      </c>
      <c r="C365" s="342"/>
      <c r="D365" s="359">
        <f t="shared" ca="1" si="153"/>
        <v>11.404810980757919</v>
      </c>
      <c r="E365" s="360">
        <f t="shared" ca="1" si="154"/>
        <v>37.015120992870173</v>
      </c>
      <c r="F365" s="357">
        <f t="shared" ca="1" si="155"/>
        <v>38.732272017319545</v>
      </c>
      <c r="G365" s="359">
        <f t="shared" ca="1" si="156"/>
        <v>53.52065799952517</v>
      </c>
      <c r="H365" s="360">
        <f t="shared" ca="1" si="157"/>
        <v>219.64348893769289</v>
      </c>
      <c r="I365" s="357">
        <f t="shared" ca="1" si="158"/>
        <v>226.07017287874257</v>
      </c>
      <c r="J365" s="359">
        <f t="shared" ca="1" si="159"/>
        <v>99.216289985990628</v>
      </c>
      <c r="K365" s="360">
        <f t="shared" ca="1" si="160"/>
        <v>438.01430192323818</v>
      </c>
      <c r="L365" s="357">
        <f t="shared" ca="1" si="145"/>
        <v>449.11067777095417</v>
      </c>
      <c r="M365" s="359">
        <f t="shared" ca="1" si="161"/>
        <v>1.3317835719388045</v>
      </c>
      <c r="N365" s="357">
        <f t="shared" ca="1" si="162"/>
        <v>76.30557789695095</v>
      </c>
      <c r="O365" s="343"/>
      <c r="P365" s="363">
        <f t="shared" ca="1" si="163"/>
        <v>11</v>
      </c>
      <c r="Q365" s="357">
        <f t="shared" ca="1" si="164"/>
        <v>660.95000000000425</v>
      </c>
      <c r="R365" s="359">
        <f t="shared" ca="1" si="165"/>
        <v>0.33109117782868147</v>
      </c>
      <c r="S365" s="360">
        <f t="shared" ca="1" si="166"/>
        <v>10.884191925924066</v>
      </c>
      <c r="T365" s="357">
        <f t="shared" ca="1" si="146"/>
        <v>106.77392279331509</v>
      </c>
      <c r="U365" s="364">
        <f t="shared" ca="1" si="147"/>
        <v>0</v>
      </c>
      <c r="V365" s="359">
        <f t="shared" ca="1" si="148"/>
        <v>1.1724931848143902</v>
      </c>
      <c r="W365" s="357">
        <f t="shared" ca="1" si="149"/>
        <v>136.83493888766318</v>
      </c>
      <c r="X365" s="343"/>
      <c r="Y365" s="367" t="str">
        <f t="shared" ca="1" si="167"/>
        <v/>
      </c>
      <c r="Z365" s="368" t="str">
        <f t="shared" ca="1" si="168"/>
        <v/>
      </c>
      <c r="AA365" s="369" t="str">
        <f t="shared" ca="1" si="169"/>
        <v/>
      </c>
      <c r="AB365" s="344"/>
      <c r="AC365" s="363" t="e">
        <f t="shared" ca="1" si="170"/>
        <v>#N/A</v>
      </c>
      <c r="AD365" s="376" t="e">
        <f t="shared" ca="1" si="171"/>
        <v>#N/A</v>
      </c>
      <c r="AE365" s="377">
        <f t="shared" ca="1" si="150"/>
        <v>438.01430192323818</v>
      </c>
      <c r="AF365" s="344"/>
      <c r="AG365" s="359">
        <f t="shared" ca="1" si="172"/>
        <v>38.662638899548647</v>
      </c>
      <c r="AH365" s="357">
        <f t="shared" ca="1" si="173"/>
        <v>48.194000347592521</v>
      </c>
    </row>
    <row r="366" spans="1:34" x14ac:dyDescent="0.25">
      <c r="A366" s="402">
        <f t="shared" ca="1" si="151"/>
        <v>0.01</v>
      </c>
      <c r="B366" s="357">
        <f t="shared" ca="1" si="152"/>
        <v>3.6199999999999668</v>
      </c>
      <c r="C366" s="342"/>
      <c r="D366" s="359">
        <f t="shared" ca="1" si="153"/>
        <v>11.375276103160491</v>
      </c>
      <c r="E366" s="360">
        <f t="shared" ca="1" si="154"/>
        <v>36.873008474034457</v>
      </c>
      <c r="F366" s="357">
        <f t="shared" ca="1" si="155"/>
        <v>38.587765682264518</v>
      </c>
      <c r="G366" s="359">
        <f t="shared" ca="1" si="156"/>
        <v>53.634410760556776</v>
      </c>
      <c r="H366" s="360">
        <f t="shared" ca="1" si="157"/>
        <v>220.01221902243324</v>
      </c>
      <c r="I366" s="357">
        <f t="shared" ca="1" si="158"/>
        <v>226.45535219289312</v>
      </c>
      <c r="J366" s="359">
        <f t="shared" ca="1" si="159"/>
        <v>99.752065329791037</v>
      </c>
      <c r="K366" s="360">
        <f t="shared" ca="1" si="160"/>
        <v>440.21258046303882</v>
      </c>
      <c r="L366" s="357">
        <f t="shared" ca="1" si="145"/>
        <v>451.3730059889341</v>
      </c>
      <c r="M366" s="359">
        <f t="shared" ca="1" si="161"/>
        <v>1.33168101510695</v>
      </c>
      <c r="N366" s="357">
        <f t="shared" ca="1" si="162"/>
        <v>76.299701823325464</v>
      </c>
      <c r="O366" s="343"/>
      <c r="P366" s="363">
        <f t="shared" ca="1" si="163"/>
        <v>11</v>
      </c>
      <c r="Q366" s="357">
        <f t="shared" ca="1" si="164"/>
        <v>659.6500000000043</v>
      </c>
      <c r="R366" s="359">
        <f t="shared" ca="1" si="165"/>
        <v>0.33043996588953739</v>
      </c>
      <c r="S366" s="360">
        <f t="shared" ca="1" si="166"/>
        <v>10.88088752626517</v>
      </c>
      <c r="T366" s="357">
        <f t="shared" ca="1" si="146"/>
        <v>106.74150663266131</v>
      </c>
      <c r="U366" s="364">
        <f t="shared" ca="1" si="147"/>
        <v>0</v>
      </c>
      <c r="V366" s="359">
        <f t="shared" ca="1" si="148"/>
        <v>1.1722353422016119</v>
      </c>
      <c r="W366" s="357">
        <f t="shared" ca="1" si="149"/>
        <v>137.27142204881355</v>
      </c>
      <c r="X366" s="343"/>
      <c r="Y366" s="367" t="str">
        <f t="shared" ca="1" si="167"/>
        <v/>
      </c>
      <c r="Z366" s="368" t="str">
        <f t="shared" ca="1" si="168"/>
        <v/>
      </c>
      <c r="AA366" s="369" t="str">
        <f t="shared" ca="1" si="169"/>
        <v/>
      </c>
      <c r="AB366" s="344"/>
      <c r="AC366" s="363" t="e">
        <f t="shared" ca="1" si="170"/>
        <v>#N/A</v>
      </c>
      <c r="AD366" s="376" t="e">
        <f t="shared" ca="1" si="171"/>
        <v>#N/A</v>
      </c>
      <c r="AE366" s="377">
        <f t="shared" ca="1" si="150"/>
        <v>440.21258046303882</v>
      </c>
      <c r="AF366" s="344"/>
      <c r="AG366" s="359">
        <f t="shared" ca="1" si="172"/>
        <v>38.517812323273787</v>
      </c>
      <c r="AH366" s="357">
        <f t="shared" ca="1" si="173"/>
        <v>48.048935332740797</v>
      </c>
    </row>
    <row r="367" spans="1:34" x14ac:dyDescent="0.25">
      <c r="A367" s="402">
        <f t="shared" ca="1" si="151"/>
        <v>0.01</v>
      </c>
      <c r="B367" s="357">
        <f t="shared" ca="1" si="152"/>
        <v>3.6299999999999666</v>
      </c>
      <c r="C367" s="342"/>
      <c r="D367" s="359">
        <f t="shared" ca="1" si="153"/>
        <v>11.345704616553048</v>
      </c>
      <c r="E367" s="360">
        <f t="shared" ca="1" si="154"/>
        <v>36.73089815966847</v>
      </c>
      <c r="F367" s="357">
        <f t="shared" ca="1" si="155"/>
        <v>38.443255492504925</v>
      </c>
      <c r="G367" s="359">
        <f t="shared" ca="1" si="156"/>
        <v>53.747867806722304</v>
      </c>
      <c r="H367" s="360">
        <f t="shared" ca="1" si="157"/>
        <v>220.37952800402994</v>
      </c>
      <c r="I367" s="357">
        <f t="shared" ca="1" si="158"/>
        <v>226.83908317802712</v>
      </c>
      <c r="J367" s="359">
        <f t="shared" ca="1" si="159"/>
        <v>100.28897672262744</v>
      </c>
      <c r="K367" s="360">
        <f t="shared" ca="1" si="160"/>
        <v>442.41453919817116</v>
      </c>
      <c r="L367" s="357">
        <f t="shared" ca="1" si="145"/>
        <v>453.63917748140074</v>
      </c>
      <c r="M367" s="359">
        <f t="shared" ca="1" si="161"/>
        <v>1.3315785886738707</v>
      </c>
      <c r="N367" s="357">
        <f t="shared" ca="1" si="162"/>
        <v>76.293833220999431</v>
      </c>
      <c r="O367" s="343"/>
      <c r="P367" s="363">
        <f t="shared" ca="1" si="163"/>
        <v>11</v>
      </c>
      <c r="Q367" s="357">
        <f t="shared" ca="1" si="164"/>
        <v>658.35000000000434</v>
      </c>
      <c r="R367" s="359">
        <f t="shared" ca="1" si="165"/>
        <v>0.32978875395039337</v>
      </c>
      <c r="S367" s="360">
        <f t="shared" ca="1" si="166"/>
        <v>10.877589638725667</v>
      </c>
      <c r="T367" s="357">
        <f t="shared" ca="1" si="146"/>
        <v>106.70915435589879</v>
      </c>
      <c r="U367" s="364">
        <f t="shared" ca="1" si="147"/>
        <v>0</v>
      </c>
      <c r="V367" s="359">
        <f t="shared" ca="1" si="148"/>
        <v>1.1719771235214351</v>
      </c>
      <c r="W367" s="357">
        <f t="shared" ca="1" si="149"/>
        <v>137.70669139498924</v>
      </c>
      <c r="X367" s="343"/>
      <c r="Y367" s="367" t="str">
        <f t="shared" ca="1" si="167"/>
        <v/>
      </c>
      <c r="Z367" s="368" t="str">
        <f t="shared" ca="1" si="168"/>
        <v/>
      </c>
      <c r="AA367" s="369" t="str">
        <f t="shared" ca="1" si="169"/>
        <v/>
      </c>
      <c r="AB367" s="344"/>
      <c r="AC367" s="363" t="e">
        <f t="shared" ca="1" si="170"/>
        <v>#N/A</v>
      </c>
      <c r="AD367" s="376" t="e">
        <f t="shared" ca="1" si="171"/>
        <v>#N/A</v>
      </c>
      <c r="AE367" s="377">
        <f t="shared" ca="1" si="150"/>
        <v>442.41453919817116</v>
      </c>
      <c r="AF367" s="344"/>
      <c r="AG367" s="359">
        <f t="shared" ca="1" si="172"/>
        <v>38.372979522983137</v>
      </c>
      <c r="AH367" s="357">
        <f t="shared" ca="1" si="173"/>
        <v>47.903864298767232</v>
      </c>
    </row>
    <row r="368" spans="1:34" x14ac:dyDescent="0.25">
      <c r="A368" s="402">
        <f t="shared" ca="1" si="151"/>
        <v>0.01</v>
      </c>
      <c r="B368" s="357">
        <f t="shared" ca="1" si="152"/>
        <v>3.6399999999999664</v>
      </c>
      <c r="C368" s="342"/>
      <c r="D368" s="359">
        <f t="shared" ca="1" si="153"/>
        <v>11.316096873087913</v>
      </c>
      <c r="E368" s="360">
        <f t="shared" ca="1" si="154"/>
        <v>36.588791049848595</v>
      </c>
      <c r="F368" s="357">
        <f t="shared" ca="1" si="155"/>
        <v>38.298742524142888</v>
      </c>
      <c r="G368" s="359">
        <f t="shared" ca="1" si="156"/>
        <v>53.861028775453185</v>
      </c>
      <c r="H368" s="360">
        <f t="shared" ca="1" si="157"/>
        <v>220.74541591452842</v>
      </c>
      <c r="I368" s="357">
        <f t="shared" ca="1" si="158"/>
        <v>227.22136578242007</v>
      </c>
      <c r="J368" s="359">
        <f t="shared" ca="1" si="159"/>
        <v>100.82702120553832</v>
      </c>
      <c r="K368" s="360">
        <f t="shared" ca="1" si="160"/>
        <v>444.62016391776393</v>
      </c>
      <c r="L368" s="357">
        <f t="shared" ca="1" si="145"/>
        <v>455.90917776180089</v>
      </c>
      <c r="M368" s="359">
        <f t="shared" ca="1" si="161"/>
        <v>1.3314762916028351</v>
      </c>
      <c r="N368" s="357">
        <f t="shared" ca="1" si="162"/>
        <v>76.287972030572547</v>
      </c>
      <c r="O368" s="343"/>
      <c r="P368" s="363">
        <f t="shared" ca="1" si="163"/>
        <v>11</v>
      </c>
      <c r="Q368" s="357">
        <f t="shared" ca="1" si="164"/>
        <v>657.05000000000439</v>
      </c>
      <c r="R368" s="359">
        <f t="shared" ca="1" si="165"/>
        <v>0.32913754201124928</v>
      </c>
      <c r="S368" s="360">
        <f t="shared" ca="1" si="166"/>
        <v>10.874298263305555</v>
      </c>
      <c r="T368" s="357">
        <f t="shared" ca="1" si="146"/>
        <v>106.6768659630275</v>
      </c>
      <c r="U368" s="364">
        <f t="shared" ca="1" si="147"/>
        <v>0</v>
      </c>
      <c r="V368" s="359">
        <f t="shared" ca="1" si="148"/>
        <v>1.1717185307007547</v>
      </c>
      <c r="W368" s="357">
        <f t="shared" ca="1" si="149"/>
        <v>138.14073835764907</v>
      </c>
      <c r="X368" s="343"/>
      <c r="Y368" s="367" t="str">
        <f t="shared" ca="1" si="167"/>
        <v/>
      </c>
      <c r="Z368" s="368" t="str">
        <f t="shared" ca="1" si="168"/>
        <v/>
      </c>
      <c r="AA368" s="369" t="str">
        <f t="shared" ca="1" si="169"/>
        <v/>
      </c>
      <c r="AB368" s="344"/>
      <c r="AC368" s="363" t="e">
        <f t="shared" ca="1" si="170"/>
        <v>#N/A</v>
      </c>
      <c r="AD368" s="376" t="e">
        <f t="shared" ca="1" si="171"/>
        <v>#N/A</v>
      </c>
      <c r="AE368" s="377">
        <f t="shared" ca="1" si="150"/>
        <v>444.62016391776393</v>
      </c>
      <c r="AF368" s="344"/>
      <c r="AG368" s="359">
        <f t="shared" ca="1" si="172"/>
        <v>38.228141549227011</v>
      </c>
      <c r="AH368" s="357">
        <f t="shared" ca="1" si="173"/>
        <v>47.758788294183304</v>
      </c>
    </row>
    <row r="369" spans="1:34" x14ac:dyDescent="0.25">
      <c r="A369" s="402">
        <f t="shared" ca="1" si="151"/>
        <v>0.01</v>
      </c>
      <c r="B369" s="357">
        <f t="shared" ca="1" si="152"/>
        <v>3.6499999999999662</v>
      </c>
      <c r="C369" s="342"/>
      <c r="D369" s="359">
        <f t="shared" ca="1" si="153"/>
        <v>11.286453223427907</v>
      </c>
      <c r="E369" s="360">
        <f t="shared" ca="1" si="154"/>
        <v>36.446688140738168</v>
      </c>
      <c r="F369" s="357">
        <f t="shared" ca="1" si="155"/>
        <v>38.154227849516893</v>
      </c>
      <c r="G369" s="359">
        <f t="shared" ca="1" si="156"/>
        <v>53.973893307687462</v>
      </c>
      <c r="H369" s="360">
        <f t="shared" ca="1" si="157"/>
        <v>221.10988279593582</v>
      </c>
      <c r="I369" s="357">
        <f t="shared" ca="1" si="158"/>
        <v>227.60219996481163</v>
      </c>
      <c r="J369" s="359">
        <f t="shared" ca="1" si="159"/>
        <v>101.36619581595401</v>
      </c>
      <c r="K369" s="360">
        <f t="shared" ca="1" si="160"/>
        <v>446.82944041131623</v>
      </c>
      <c r="L369" s="357">
        <f t="shared" ca="1" si="145"/>
        <v>458.18299234311212</v>
      </c>
      <c r="M369" s="359">
        <f t="shared" ca="1" si="161"/>
        <v>1.3313741228643494</v>
      </c>
      <c r="N369" s="357">
        <f t="shared" ca="1" si="162"/>
        <v>76.282118193059134</v>
      </c>
      <c r="O369" s="343"/>
      <c r="P369" s="363">
        <f t="shared" ca="1" si="163"/>
        <v>11</v>
      </c>
      <c r="Q369" s="357">
        <f t="shared" ca="1" si="164"/>
        <v>655.75000000000443</v>
      </c>
      <c r="R369" s="359">
        <f t="shared" ca="1" si="165"/>
        <v>0.3284863300721052</v>
      </c>
      <c r="S369" s="360">
        <f t="shared" ca="1" si="166"/>
        <v>10.871013400004834</v>
      </c>
      <c r="T369" s="357">
        <f t="shared" ca="1" si="146"/>
        <v>106.64464145404743</v>
      </c>
      <c r="U369" s="364">
        <f t="shared" ca="1" si="147"/>
        <v>0</v>
      </c>
      <c r="V369" s="359">
        <f t="shared" ca="1" si="148"/>
        <v>1.1714595656652722</v>
      </c>
      <c r="W369" s="357">
        <f t="shared" ca="1" si="149"/>
        <v>138.57355442694782</v>
      </c>
      <c r="X369" s="343"/>
      <c r="Y369" s="367" t="str">
        <f t="shared" ca="1" si="167"/>
        <v/>
      </c>
      <c r="Z369" s="368" t="str">
        <f t="shared" ca="1" si="168"/>
        <v/>
      </c>
      <c r="AA369" s="369" t="str">
        <f t="shared" ca="1" si="169"/>
        <v/>
      </c>
      <c r="AB369" s="344"/>
      <c r="AC369" s="363" t="e">
        <f t="shared" ca="1" si="170"/>
        <v>#N/A</v>
      </c>
      <c r="AD369" s="376" t="e">
        <f t="shared" ca="1" si="171"/>
        <v>#N/A</v>
      </c>
      <c r="AE369" s="377">
        <f t="shared" ca="1" si="150"/>
        <v>446.82944041131623</v>
      </c>
      <c r="AF369" s="344"/>
      <c r="AG369" s="359">
        <f t="shared" ca="1" si="172"/>
        <v>38.083299448434694</v>
      </c>
      <c r="AH369" s="357">
        <f t="shared" ca="1" si="173"/>
        <v>47.613708363391879</v>
      </c>
    </row>
    <row r="370" spans="1:34" x14ac:dyDescent="0.25">
      <c r="A370" s="402">
        <f t="shared" ca="1" si="151"/>
        <v>0.01</v>
      </c>
      <c r="B370" s="357">
        <f t="shared" ca="1" si="152"/>
        <v>3.6599999999999659</v>
      </c>
      <c r="C370" s="342"/>
      <c r="D370" s="359">
        <f t="shared" ca="1" si="153"/>
        <v>11.26848723496367</v>
      </c>
      <c r="E370" s="360">
        <f t="shared" ca="1" si="154"/>
        <v>36.352574887949466</v>
      </c>
      <c r="F370" s="357">
        <f t="shared" ca="1" si="155"/>
        <v>38.059013460000685</v>
      </c>
      <c r="G370" s="359">
        <f t="shared" ca="1" si="156"/>
        <v>54.086578180037101</v>
      </c>
      <c r="H370" s="360">
        <f t="shared" ca="1" si="157"/>
        <v>221.4734085448153</v>
      </c>
      <c r="I370" s="357">
        <f t="shared" ca="1" si="158"/>
        <v>227.98207962838643</v>
      </c>
      <c r="J370" s="359">
        <f t="shared" ca="1" si="159"/>
        <v>101.90649817339263</v>
      </c>
      <c r="K370" s="360">
        <f t="shared" ca="1" si="160"/>
        <v>449.04235686801997</v>
      </c>
      <c r="L370" s="357">
        <f t="shared" ca="1" si="145"/>
        <v>460.46060920729133</v>
      </c>
      <c r="M370" s="359">
        <f t="shared" ca="1" si="161"/>
        <v>1.3312720816571544</v>
      </c>
      <c r="N370" s="357">
        <f t="shared" ca="1" si="162"/>
        <v>76.276271662550442</v>
      </c>
      <c r="O370" s="343"/>
      <c r="P370" s="363">
        <f t="shared" ca="1" si="163"/>
        <v>12</v>
      </c>
      <c r="Q370" s="357">
        <f t="shared" ca="1" si="164"/>
        <v>654.98666666666747</v>
      </c>
      <c r="R370" s="359">
        <f t="shared" ca="1" si="165"/>
        <v>0.32810395177963164</v>
      </c>
      <c r="S370" s="360">
        <f t="shared" ca="1" si="166"/>
        <v>10.867732360487038</v>
      </c>
      <c r="T370" s="357">
        <f t="shared" ca="1" si="146"/>
        <v>106.61245445637785</v>
      </c>
      <c r="U370" s="364">
        <f t="shared" ca="1" si="147"/>
        <v>0</v>
      </c>
      <c r="V370" s="359">
        <f t="shared" ca="1" si="148"/>
        <v>1.1712002300583455</v>
      </c>
      <c r="W370" s="357">
        <f t="shared" ca="1" si="149"/>
        <v>139.00573344280352</v>
      </c>
      <c r="X370" s="343"/>
      <c r="Y370" s="367" t="str">
        <f t="shared" ca="1" si="167"/>
        <v/>
      </c>
      <c r="Z370" s="368" t="str">
        <f t="shared" ca="1" si="168"/>
        <v/>
      </c>
      <c r="AA370" s="369" t="str">
        <f t="shared" ca="1" si="169"/>
        <v/>
      </c>
      <c r="AB370" s="344"/>
      <c r="AC370" s="363" t="e">
        <f t="shared" ca="1" si="170"/>
        <v>#N/A</v>
      </c>
      <c r="AD370" s="376" t="e">
        <f t="shared" ca="1" si="171"/>
        <v>#N/A</v>
      </c>
      <c r="AE370" s="377">
        <f t="shared" ca="1" si="150"/>
        <v>449.04235686801997</v>
      </c>
      <c r="AF370" s="344"/>
      <c r="AG370" s="359">
        <f t="shared" ca="1" si="172"/>
        <v>37.987847665359489</v>
      </c>
      <c r="AH370" s="357">
        <f t="shared" ca="1" si="173"/>
        <v>47.518018949132149</v>
      </c>
    </row>
    <row r="371" spans="1:34" x14ac:dyDescent="0.25">
      <c r="A371" s="402">
        <f t="shared" ca="1" si="151"/>
        <v>0.01</v>
      </c>
      <c r="B371" s="357">
        <f t="shared" ca="1" si="152"/>
        <v>3.6699999999999657</v>
      </c>
      <c r="C371" s="342"/>
      <c r="D371" s="359">
        <f t="shared" ca="1" si="153"/>
        <v>11.262214147718096</v>
      </c>
      <c r="E371" s="360">
        <f t="shared" ca="1" si="154"/>
        <v>36.306449570059634</v>
      </c>
      <c r="F371" s="357">
        <f t="shared" ca="1" si="155"/>
        <v>38.013099688033137</v>
      </c>
      <c r="G371" s="359">
        <f t="shared" ca="1" si="156"/>
        <v>54.199200321514283</v>
      </c>
      <c r="H371" s="360">
        <f t="shared" ca="1" si="157"/>
        <v>221.8364730405159</v>
      </c>
      <c r="I371" s="357">
        <f t="shared" ca="1" si="158"/>
        <v>228.36149869570212</v>
      </c>
      <c r="J371" s="359">
        <f t="shared" ca="1" si="159"/>
        <v>102.44792706590039</v>
      </c>
      <c r="K371" s="360">
        <f t="shared" ca="1" si="160"/>
        <v>451.25890627594663</v>
      </c>
      <c r="L371" s="357">
        <f t="shared" ca="1" si="145"/>
        <v>462.74202127477423</v>
      </c>
      <c r="M371" s="359">
        <f t="shared" ca="1" si="161"/>
        <v>1.3311701674056819</v>
      </c>
      <c r="N371" s="357">
        <f t="shared" ca="1" si="162"/>
        <v>76.270432406068835</v>
      </c>
      <c r="O371" s="343"/>
      <c r="P371" s="363">
        <f t="shared" ca="1" si="163"/>
        <v>12</v>
      </c>
      <c r="Q371" s="357">
        <f t="shared" ca="1" si="164"/>
        <v>654.76000000000079</v>
      </c>
      <c r="R371" s="359">
        <f t="shared" ca="1" si="165"/>
        <v>0.32799040713383215</v>
      </c>
      <c r="S371" s="360">
        <f t="shared" ca="1" si="166"/>
        <v>10.8644524564157</v>
      </c>
      <c r="T371" s="357">
        <f t="shared" ca="1" si="146"/>
        <v>106.58027859743802</v>
      </c>
      <c r="U371" s="364">
        <f t="shared" ca="1" si="147"/>
        <v>0</v>
      </c>
      <c r="V371" s="359">
        <f t="shared" ca="1" si="148"/>
        <v>1.1709405249602118</v>
      </c>
      <c r="W371" s="357">
        <f t="shared" ca="1" si="149"/>
        <v>139.43787271420459</v>
      </c>
      <c r="X371" s="343"/>
      <c r="Y371" s="367" t="str">
        <f t="shared" ca="1" si="167"/>
        <v/>
      </c>
      <c r="Z371" s="368" t="str">
        <f t="shared" ca="1" si="168"/>
        <v/>
      </c>
      <c r="AA371" s="369" t="str">
        <f t="shared" ca="1" si="169"/>
        <v/>
      </c>
      <c r="AB371" s="344"/>
      <c r="AC371" s="363" t="e">
        <f t="shared" ca="1" si="170"/>
        <v>#N/A</v>
      </c>
      <c r="AD371" s="376" t="e">
        <f t="shared" ca="1" si="171"/>
        <v>#N/A</v>
      </c>
      <c r="AE371" s="377">
        <f t="shared" ca="1" si="150"/>
        <v>451.25890627594663</v>
      </c>
      <c r="AF371" s="344"/>
      <c r="AG371" s="359">
        <f t="shared" ca="1" si="172"/>
        <v>37.941788137568139</v>
      </c>
      <c r="AH371" s="357">
        <f t="shared" ca="1" si="173"/>
        <v>47.471721987483406</v>
      </c>
    </row>
    <row r="372" spans="1:34" x14ac:dyDescent="0.25">
      <c r="A372" s="402">
        <f t="shared" ca="1" si="151"/>
        <v>0.01</v>
      </c>
      <c r="B372" s="357">
        <f t="shared" ca="1" si="152"/>
        <v>3.6799999999999655</v>
      </c>
      <c r="C372" s="342"/>
      <c r="D372" s="359">
        <f t="shared" ca="1" si="153"/>
        <v>11.255918970980639</v>
      </c>
      <c r="E372" s="360">
        <f t="shared" ca="1" si="154"/>
        <v>36.260299018065204</v>
      </c>
      <c r="F372" s="357">
        <f t="shared" ca="1" si="155"/>
        <v>37.967156816922468</v>
      </c>
      <c r="G372" s="359">
        <f t="shared" ca="1" si="156"/>
        <v>54.311759511224089</v>
      </c>
      <c r="H372" s="360">
        <f t="shared" ca="1" si="157"/>
        <v>222.19907603069655</v>
      </c>
      <c r="I372" s="357">
        <f t="shared" ca="1" si="158"/>
        <v>228.74045687219459</v>
      </c>
      <c r="J372" s="359">
        <f t="shared" ca="1" si="159"/>
        <v>102.99048186506408</v>
      </c>
      <c r="K372" s="360">
        <f t="shared" ca="1" si="160"/>
        <v>453.4790840213027</v>
      </c>
      <c r="L372" s="357">
        <f t="shared" ca="1" si="145"/>
        <v>465.02722393382282</v>
      </c>
      <c r="M372" s="359">
        <f t="shared" ca="1" si="161"/>
        <v>1.3310683795376201</v>
      </c>
      <c r="N372" s="357">
        <f t="shared" ca="1" si="162"/>
        <v>76.264600390823261</v>
      </c>
      <c r="O372" s="343"/>
      <c r="P372" s="363">
        <f t="shared" ca="1" si="163"/>
        <v>12</v>
      </c>
      <c r="Q372" s="357">
        <f t="shared" ca="1" si="164"/>
        <v>654.5333333333341</v>
      </c>
      <c r="R372" s="359">
        <f t="shared" ca="1" si="165"/>
        <v>0.32787686248803266</v>
      </c>
      <c r="S372" s="360">
        <f t="shared" ca="1" si="166"/>
        <v>10.861173687790819</v>
      </c>
      <c r="T372" s="357">
        <f t="shared" ca="1" si="146"/>
        <v>106.54811387722793</v>
      </c>
      <c r="U372" s="364">
        <f t="shared" ca="1" si="147"/>
        <v>0</v>
      </c>
      <c r="V372" s="359">
        <f t="shared" ca="1" si="148"/>
        <v>1.1706804511697892</v>
      </c>
      <c r="W372" s="357">
        <f t="shared" ca="1" si="149"/>
        <v>139.8699685958407</v>
      </c>
      <c r="X372" s="343"/>
      <c r="Y372" s="367" t="str">
        <f t="shared" ca="1" si="167"/>
        <v/>
      </c>
      <c r="Z372" s="368" t="str">
        <f t="shared" ca="1" si="168"/>
        <v/>
      </c>
      <c r="AA372" s="369" t="str">
        <f t="shared" ca="1" si="169"/>
        <v/>
      </c>
      <c r="AB372" s="344"/>
      <c r="AC372" s="363" t="e">
        <f t="shared" ca="1" si="170"/>
        <v>#N/A</v>
      </c>
      <c r="AD372" s="376" t="e">
        <f t="shared" ca="1" si="171"/>
        <v>#N/A</v>
      </c>
      <c r="AE372" s="377">
        <f t="shared" ca="1" si="150"/>
        <v>453.4790840213027</v>
      </c>
      <c r="AF372" s="344"/>
      <c r="AG372" s="359">
        <f t="shared" ca="1" si="172"/>
        <v>37.895699152879359</v>
      </c>
      <c r="AH372" s="357">
        <f t="shared" ca="1" si="173"/>
        <v>47.425395765298809</v>
      </c>
    </row>
    <row r="373" spans="1:34" x14ac:dyDescent="0.25">
      <c r="A373" s="402">
        <f t="shared" ca="1" si="151"/>
        <v>0.01</v>
      </c>
      <c r="B373" s="357">
        <f t="shared" ca="1" si="152"/>
        <v>3.6899999999999653</v>
      </c>
      <c r="C373" s="342"/>
      <c r="D373" s="359">
        <f t="shared" ca="1" si="153"/>
        <v>11.249601817143589</v>
      </c>
      <c r="E373" s="360">
        <f t="shared" ca="1" si="154"/>
        <v>36.214123541163708</v>
      </c>
      <c r="F373" s="357">
        <f t="shared" ca="1" si="155"/>
        <v>37.92118517265709</v>
      </c>
      <c r="G373" s="359">
        <f t="shared" ca="1" si="156"/>
        <v>54.424255529395523</v>
      </c>
      <c r="H373" s="360">
        <f t="shared" ca="1" si="157"/>
        <v>222.56121726610817</v>
      </c>
      <c r="I373" s="357">
        <f t="shared" ca="1" si="158"/>
        <v>229.11895386654669</v>
      </c>
      <c r="J373" s="359">
        <f t="shared" ca="1" si="159"/>
        <v>103.53416194026718</v>
      </c>
      <c r="K373" s="360">
        <f t="shared" ca="1" si="160"/>
        <v>455.70288548778672</v>
      </c>
      <c r="L373" s="357">
        <f t="shared" ca="1" si="145"/>
        <v>467.31621256978485</v>
      </c>
      <c r="M373" s="359">
        <f t="shared" ca="1" si="161"/>
        <v>1.3309667174838891</v>
      </c>
      <c r="N373" s="357">
        <f t="shared" ca="1" si="162"/>
        <v>76.258775584207839</v>
      </c>
      <c r="O373" s="343"/>
      <c r="P373" s="363">
        <f t="shared" ca="1" si="163"/>
        <v>12</v>
      </c>
      <c r="Q373" s="357">
        <f t="shared" ca="1" si="164"/>
        <v>654.30666666666752</v>
      </c>
      <c r="R373" s="359">
        <f t="shared" ca="1" si="165"/>
        <v>0.32776331784223323</v>
      </c>
      <c r="S373" s="360">
        <f t="shared" ca="1" si="166"/>
        <v>10.857896054612397</v>
      </c>
      <c r="T373" s="357">
        <f t="shared" ca="1" si="146"/>
        <v>106.51596029574762</v>
      </c>
      <c r="U373" s="364">
        <f t="shared" ca="1" si="147"/>
        <v>0</v>
      </c>
      <c r="V373" s="359">
        <f t="shared" ca="1" si="148"/>
        <v>1.1704200094861004</v>
      </c>
      <c r="W373" s="357">
        <f t="shared" ca="1" si="149"/>
        <v>140.30201745109218</v>
      </c>
      <c r="X373" s="343"/>
      <c r="Y373" s="367" t="str">
        <f t="shared" ca="1" si="167"/>
        <v/>
      </c>
      <c r="Z373" s="368" t="str">
        <f t="shared" ca="1" si="168"/>
        <v/>
      </c>
      <c r="AA373" s="369" t="str">
        <f t="shared" ca="1" si="169"/>
        <v/>
      </c>
      <c r="AB373" s="344"/>
      <c r="AC373" s="363" t="e">
        <f t="shared" ca="1" si="170"/>
        <v>#N/A</v>
      </c>
      <c r="AD373" s="376" t="e">
        <f t="shared" ca="1" si="171"/>
        <v>#N/A</v>
      </c>
      <c r="AE373" s="377">
        <f t="shared" ca="1" si="150"/>
        <v>455.70288548778672</v>
      </c>
      <c r="AF373" s="344"/>
      <c r="AG373" s="359">
        <f t="shared" ca="1" si="172"/>
        <v>37.8495810360088</v>
      </c>
      <c r="AH373" s="357">
        <f t="shared" ca="1" si="173"/>
        <v>47.379040606333298</v>
      </c>
    </row>
    <row r="374" spans="1:34" x14ac:dyDescent="0.25">
      <c r="A374" s="402">
        <f t="shared" ca="1" si="151"/>
        <v>0.01</v>
      </c>
      <c r="B374" s="357">
        <f t="shared" ca="1" si="152"/>
        <v>3.6999999999999651</v>
      </c>
      <c r="C374" s="342"/>
      <c r="D374" s="359">
        <f t="shared" ca="1" si="153"/>
        <v>11.24326279840016</v>
      </c>
      <c r="E374" s="360">
        <f t="shared" ca="1" si="154"/>
        <v>36.167923448179181</v>
      </c>
      <c r="F374" s="357">
        <f t="shared" ca="1" si="155"/>
        <v>37.875185080831464</v>
      </c>
      <c r="G374" s="359">
        <f t="shared" ca="1" si="156"/>
        <v>54.536688157379523</v>
      </c>
      <c r="H374" s="360">
        <f t="shared" ca="1" si="157"/>
        <v>222.92289650058996</v>
      </c>
      <c r="I374" s="357">
        <f t="shared" ca="1" si="158"/>
        <v>229.4969893906846</v>
      </c>
      <c r="J374" s="359">
        <f t="shared" ca="1" si="159"/>
        <v>104.07896665870106</v>
      </c>
      <c r="K374" s="360">
        <f t="shared" ca="1" si="160"/>
        <v>457.93030605662022</v>
      </c>
      <c r="L374" s="357">
        <f t="shared" ca="1" si="145"/>
        <v>469.6089825651261</v>
      </c>
      <c r="M374" s="359">
        <f t="shared" ca="1" si="161"/>
        <v>1.3308651806786154</v>
      </c>
      <c r="N374" s="357">
        <f t="shared" ca="1" si="162"/>
        <v>76.252957953800419</v>
      </c>
      <c r="O374" s="343"/>
      <c r="P374" s="363">
        <f t="shared" ca="1" si="163"/>
        <v>12</v>
      </c>
      <c r="Q374" s="357">
        <f t="shared" ca="1" si="164"/>
        <v>654.08000000000084</v>
      </c>
      <c r="R374" s="359">
        <f t="shared" ca="1" si="165"/>
        <v>0.32764977319643374</v>
      </c>
      <c r="S374" s="360">
        <f t="shared" ca="1" si="166"/>
        <v>10.854619556880433</v>
      </c>
      <c r="T374" s="357">
        <f t="shared" ca="1" si="146"/>
        <v>106.48381785299705</v>
      </c>
      <c r="U374" s="364">
        <f t="shared" ca="1" si="147"/>
        <v>0</v>
      </c>
      <c r="V374" s="359">
        <f t="shared" ca="1" si="148"/>
        <v>1.1701592007082668</v>
      </c>
      <c r="W374" s="357">
        <f t="shared" ca="1" si="149"/>
        <v>140.73401565207118</v>
      </c>
      <c r="X374" s="343"/>
      <c r="Y374" s="367" t="str">
        <f t="shared" ca="1" si="167"/>
        <v/>
      </c>
      <c r="Z374" s="368" t="str">
        <f t="shared" ca="1" si="168"/>
        <v/>
      </c>
      <c r="AA374" s="369" t="str">
        <f t="shared" ca="1" si="169"/>
        <v/>
      </c>
      <c r="AB374" s="344"/>
      <c r="AC374" s="363" t="e">
        <f t="shared" ca="1" si="170"/>
        <v>#N/A</v>
      </c>
      <c r="AD374" s="376" t="e">
        <f t="shared" ca="1" si="171"/>
        <v>#N/A</v>
      </c>
      <c r="AE374" s="377">
        <f t="shared" ca="1" si="150"/>
        <v>457.93030605662022</v>
      </c>
      <c r="AF374" s="344"/>
      <c r="AG374" s="359">
        <f t="shared" ca="1" si="172"/>
        <v>37.80343411127587</v>
      </c>
      <c r="AH374" s="357">
        <f t="shared" ca="1" si="173"/>
        <v>47.332656833950431</v>
      </c>
    </row>
    <row r="375" spans="1:34" x14ac:dyDescent="0.25">
      <c r="A375" s="402">
        <f t="shared" ca="1" si="151"/>
        <v>0.01</v>
      </c>
      <c r="B375" s="357">
        <f t="shared" ca="1" si="152"/>
        <v>3.7099999999999649</v>
      </c>
      <c r="C375" s="342"/>
      <c r="D375" s="359">
        <f t="shared" ca="1" si="153"/>
        <v>11.236902026744591</v>
      </c>
      <c r="E375" s="360">
        <f t="shared" ca="1" si="154"/>
        <v>36.121699047557577</v>
      </c>
      <c r="F375" s="357">
        <f t="shared" ca="1" si="155"/>
        <v>37.829156866641618</v>
      </c>
      <c r="G375" s="359">
        <f t="shared" ca="1" si="156"/>
        <v>54.649057177646966</v>
      </c>
      <c r="H375" s="360">
        <f t="shared" ca="1" si="157"/>
        <v>223.28411349106554</v>
      </c>
      <c r="I375" s="357">
        <f t="shared" ca="1" si="158"/>
        <v>229.87456315977366</v>
      </c>
      <c r="J375" s="359">
        <f t="shared" ca="1" si="159"/>
        <v>104.62489538537619</v>
      </c>
      <c r="K375" s="360">
        <f t="shared" ca="1" si="160"/>
        <v>460.1613411065785</v>
      </c>
      <c r="L375" s="357">
        <f t="shared" ca="1" si="145"/>
        <v>471.90552929946244</v>
      </c>
      <c r="M375" s="359">
        <f t="shared" ca="1" si="161"/>
        <v>1.3307637685591085</v>
      </c>
      <c r="N375" s="357">
        <f t="shared" ca="1" si="162"/>
        <v>76.247147467361188</v>
      </c>
      <c r="O375" s="343"/>
      <c r="P375" s="363">
        <f t="shared" ca="1" si="163"/>
        <v>12</v>
      </c>
      <c r="Q375" s="357">
        <f t="shared" ca="1" si="164"/>
        <v>653.85333333333415</v>
      </c>
      <c r="R375" s="359">
        <f t="shared" ca="1" si="165"/>
        <v>0.32753622855063425</v>
      </c>
      <c r="S375" s="360">
        <f t="shared" ca="1" si="166"/>
        <v>10.851344194594926</v>
      </c>
      <c r="T375" s="357">
        <f t="shared" ca="1" si="146"/>
        <v>106.45168654897623</v>
      </c>
      <c r="U375" s="364">
        <f t="shared" ca="1" si="147"/>
        <v>0</v>
      </c>
      <c r="V375" s="359">
        <f t="shared" ca="1" si="148"/>
        <v>1.1698980256355036</v>
      </c>
      <c r="W375" s="357">
        <f t="shared" ca="1" si="149"/>
        <v>141.16595957966121</v>
      </c>
      <c r="X375" s="343"/>
      <c r="Y375" s="367" t="str">
        <f t="shared" ca="1" si="167"/>
        <v/>
      </c>
      <c r="Z375" s="368" t="str">
        <f t="shared" ca="1" si="168"/>
        <v/>
      </c>
      <c r="AA375" s="369" t="str">
        <f t="shared" ca="1" si="169"/>
        <v/>
      </c>
      <c r="AB375" s="344"/>
      <c r="AC375" s="363" t="e">
        <f t="shared" ca="1" si="170"/>
        <v>#N/A</v>
      </c>
      <c r="AD375" s="376" t="e">
        <f t="shared" ca="1" si="171"/>
        <v>#N/A</v>
      </c>
      <c r="AE375" s="377">
        <f t="shared" ca="1" si="150"/>
        <v>460.1613411065785</v>
      </c>
      <c r="AF375" s="344"/>
      <c r="AG375" s="359">
        <f t="shared" ca="1" si="172"/>
        <v>37.757258702599152</v>
      </c>
      <c r="AH375" s="357">
        <f t="shared" ca="1" si="173"/>
        <v>47.286244771117723</v>
      </c>
    </row>
    <row r="376" spans="1:34" x14ac:dyDescent="0.25">
      <c r="A376" s="402">
        <f t="shared" ca="1" si="151"/>
        <v>0.01</v>
      </c>
      <c r="B376" s="357">
        <f t="shared" ca="1" si="152"/>
        <v>3.7199999999999647</v>
      </c>
      <c r="C376" s="342"/>
      <c r="D376" s="359">
        <f t="shared" ca="1" si="153"/>
        <v>11.230519613972099</v>
      </c>
      <c r="E376" s="360">
        <f t="shared" ca="1" si="154"/>
        <v>36.075450647361976</v>
      </c>
      <c r="F376" s="357">
        <f t="shared" ca="1" si="155"/>
        <v>37.783100854880367</v>
      </c>
      <c r="G376" s="359">
        <f t="shared" ca="1" si="156"/>
        <v>54.761362373786689</v>
      </c>
      <c r="H376" s="360">
        <f t="shared" ca="1" si="157"/>
        <v>223.64486799753917</v>
      </c>
      <c r="I376" s="357">
        <f t="shared" ca="1" si="158"/>
        <v>230.25167489221417</v>
      </c>
      <c r="J376" s="359">
        <f t="shared" ca="1" si="159"/>
        <v>105.17194748313337</v>
      </c>
      <c r="K376" s="360">
        <f t="shared" ca="1" si="160"/>
        <v>462.3959860140215</v>
      </c>
      <c r="L376" s="357">
        <f t="shared" ca="1" si="145"/>
        <v>474.20584814959221</v>
      </c>
      <c r="M376" s="359">
        <f t="shared" ca="1" si="161"/>
        <v>1.330662480565836</v>
      </c>
      <c r="N376" s="357">
        <f t="shared" ca="1" si="162"/>
        <v>76.241344092831326</v>
      </c>
      <c r="O376" s="343"/>
      <c r="P376" s="363">
        <f t="shared" ca="1" si="163"/>
        <v>12</v>
      </c>
      <c r="Q376" s="357">
        <f t="shared" ca="1" si="164"/>
        <v>653.62666666666746</v>
      </c>
      <c r="R376" s="359">
        <f t="shared" ca="1" si="165"/>
        <v>0.32742268390483475</v>
      </c>
      <c r="S376" s="360">
        <f t="shared" ca="1" si="166"/>
        <v>10.848069967755878</v>
      </c>
      <c r="T376" s="357">
        <f t="shared" ca="1" si="146"/>
        <v>106.41956638368517</v>
      </c>
      <c r="U376" s="364">
        <f t="shared" ca="1" si="147"/>
        <v>0</v>
      </c>
      <c r="V376" s="359">
        <f t="shared" ca="1" si="148"/>
        <v>1.1696364850671124</v>
      </c>
      <c r="W376" s="357">
        <f t="shared" ca="1" si="149"/>
        <v>141.59784562355713</v>
      </c>
      <c r="X376" s="343"/>
      <c r="Y376" s="367" t="str">
        <f t="shared" ca="1" si="167"/>
        <v/>
      </c>
      <c r="Z376" s="368" t="str">
        <f t="shared" ca="1" si="168"/>
        <v/>
      </c>
      <c r="AA376" s="369" t="str">
        <f t="shared" ca="1" si="169"/>
        <v/>
      </c>
      <c r="AB376" s="344"/>
      <c r="AC376" s="363" t="e">
        <f t="shared" ca="1" si="170"/>
        <v>#N/A</v>
      </c>
      <c r="AD376" s="376" t="e">
        <f t="shared" ca="1" si="171"/>
        <v>#N/A</v>
      </c>
      <c r="AE376" s="377">
        <f t="shared" ca="1" si="150"/>
        <v>462.3959860140215</v>
      </c>
      <c r="AF376" s="344"/>
      <c r="AG376" s="359">
        <f t="shared" ca="1" si="172"/>
        <v>37.71105513349174</v>
      </c>
      <c r="AH376" s="357">
        <f t="shared" ca="1" si="173"/>
        <v>47.239804740401965</v>
      </c>
    </row>
    <row r="377" spans="1:34" x14ac:dyDescent="0.25">
      <c r="A377" s="402">
        <f t="shared" ca="1" si="151"/>
        <v>0.01</v>
      </c>
      <c r="B377" s="357">
        <f t="shared" ca="1" si="152"/>
        <v>3.7299999999999645</v>
      </c>
      <c r="C377" s="342"/>
      <c r="D377" s="359">
        <f t="shared" ca="1" si="153"/>
        <v>11.224115671678943</v>
      </c>
      <c r="E377" s="360">
        <f t="shared" ca="1" si="154"/>
        <v>36.029178555268111</v>
      </c>
      <c r="F377" s="357">
        <f t="shared" ca="1" si="155"/>
        <v>37.737017369932936</v>
      </c>
      <c r="G377" s="359">
        <f t="shared" ca="1" si="156"/>
        <v>54.87360353050348</v>
      </c>
      <c r="H377" s="360">
        <f t="shared" ca="1" si="157"/>
        <v>224.00515978309184</v>
      </c>
      <c r="I377" s="357">
        <f t="shared" ca="1" si="158"/>
        <v>230.62832430963763</v>
      </c>
      <c r="J377" s="359">
        <f t="shared" ca="1" si="159"/>
        <v>105.72012231265482</v>
      </c>
      <c r="K377" s="360">
        <f t="shared" ca="1" si="160"/>
        <v>464.63423615292464</v>
      </c>
      <c r="L377" s="357">
        <f t="shared" ca="1" si="145"/>
        <v>476.50993448952818</v>
      </c>
      <c r="M377" s="359">
        <f t="shared" ca="1" si="161"/>
        <v>1.3305613161423988</v>
      </c>
      <c r="N377" s="357">
        <f t="shared" ca="1" si="162"/>
        <v>76.23554779833151</v>
      </c>
      <c r="O377" s="343"/>
      <c r="P377" s="363">
        <f t="shared" ca="1" si="163"/>
        <v>12</v>
      </c>
      <c r="Q377" s="357">
        <f t="shared" ca="1" si="164"/>
        <v>653.40000000000089</v>
      </c>
      <c r="R377" s="359">
        <f t="shared" ca="1" si="165"/>
        <v>0.32730913925903532</v>
      </c>
      <c r="S377" s="360">
        <f t="shared" ca="1" si="166"/>
        <v>10.844796876363288</v>
      </c>
      <c r="T377" s="357">
        <f t="shared" ca="1" si="146"/>
        <v>106.38745735712386</v>
      </c>
      <c r="U377" s="364">
        <f t="shared" ca="1" si="147"/>
        <v>0</v>
      </c>
      <c r="V377" s="359">
        <f t="shared" ca="1" si="148"/>
        <v>1.1693745798024748</v>
      </c>
      <c r="W377" s="357">
        <f t="shared" ca="1" si="149"/>
        <v>142.02967018230464</v>
      </c>
      <c r="X377" s="343"/>
      <c r="Y377" s="367" t="str">
        <f t="shared" ca="1" si="167"/>
        <v/>
      </c>
      <c r="Z377" s="368" t="str">
        <f t="shared" ca="1" si="168"/>
        <v/>
      </c>
      <c r="AA377" s="369" t="str">
        <f t="shared" ca="1" si="169"/>
        <v/>
      </c>
      <c r="AB377" s="344"/>
      <c r="AC377" s="363" t="e">
        <f t="shared" ca="1" si="170"/>
        <v>#N/A</v>
      </c>
      <c r="AD377" s="376" t="e">
        <f t="shared" ca="1" si="171"/>
        <v>#N/A</v>
      </c>
      <c r="AE377" s="377">
        <f t="shared" ca="1" si="150"/>
        <v>464.63423615292464</v>
      </c>
      <c r="AF377" s="344"/>
      <c r="AG377" s="359">
        <f t="shared" ca="1" si="172"/>
        <v>37.664823727056699</v>
      </c>
      <c r="AH377" s="357">
        <f t="shared" ca="1" si="173"/>
        <v>47.193337063964663</v>
      </c>
    </row>
    <row r="378" spans="1:34" x14ac:dyDescent="0.25">
      <c r="A378" s="402">
        <f t="shared" ca="1" si="151"/>
        <v>0.01</v>
      </c>
      <c r="B378" s="357">
        <f t="shared" ca="1" si="152"/>
        <v>3.7399999999999642</v>
      </c>
      <c r="C378" s="342"/>
      <c r="D378" s="359">
        <f t="shared" ca="1" si="153"/>
        <v>11.217690311262446</v>
      </c>
      <c r="E378" s="360">
        <f t="shared" ca="1" si="154"/>
        <v>35.982883078559667</v>
      </c>
      <c r="F378" s="357">
        <f t="shared" ca="1" si="155"/>
        <v>37.690906735772316</v>
      </c>
      <c r="G378" s="359">
        <f t="shared" ca="1" si="156"/>
        <v>54.985780433616107</v>
      </c>
      <c r="H378" s="360">
        <f t="shared" ca="1" si="157"/>
        <v>224.36498861387744</v>
      </c>
      <c r="I378" s="357">
        <f t="shared" ca="1" si="158"/>
        <v>231.00451113690227</v>
      </c>
      <c r="J378" s="359">
        <f t="shared" ca="1" si="159"/>
        <v>106.26941923247541</v>
      </c>
      <c r="K378" s="360">
        <f t="shared" ca="1" si="160"/>
        <v>466.87608689490946</v>
      </c>
      <c r="L378" s="357">
        <f t="shared" ca="1" si="145"/>
        <v>478.81778369052944</v>
      </c>
      <c r="M378" s="359">
        <f t="shared" ca="1" si="161"/>
        <v>1.3304602747355092</v>
      </c>
      <c r="N378" s="357">
        <f t="shared" ca="1" si="162"/>
        <v>76.229758552160661</v>
      </c>
      <c r="O378" s="343"/>
      <c r="P378" s="363">
        <f t="shared" ca="1" si="163"/>
        <v>12</v>
      </c>
      <c r="Q378" s="357">
        <f t="shared" ca="1" si="164"/>
        <v>653.1733333333342</v>
      </c>
      <c r="R378" s="359">
        <f t="shared" ca="1" si="165"/>
        <v>0.32719559461323577</v>
      </c>
      <c r="S378" s="360">
        <f t="shared" ca="1" si="166"/>
        <v>10.841524920417156</v>
      </c>
      <c r="T378" s="357">
        <f t="shared" ca="1" si="146"/>
        <v>106.3553594692923</v>
      </c>
      <c r="U378" s="364">
        <f t="shared" ca="1" si="147"/>
        <v>0</v>
      </c>
      <c r="V378" s="359">
        <f t="shared" ca="1" si="148"/>
        <v>1.1691123106410488</v>
      </c>
      <c r="W378" s="357">
        <f t="shared" ca="1" si="149"/>
        <v>142.46142966333906</v>
      </c>
      <c r="X378" s="343"/>
      <c r="Y378" s="367" t="str">
        <f t="shared" ca="1" si="167"/>
        <v/>
      </c>
      <c r="Z378" s="368" t="str">
        <f t="shared" ca="1" si="168"/>
        <v/>
      </c>
      <c r="AA378" s="369" t="str">
        <f t="shared" ca="1" si="169"/>
        <v/>
      </c>
      <c r="AB378" s="344"/>
      <c r="AC378" s="363" t="e">
        <f t="shared" ca="1" si="170"/>
        <v>#N/A</v>
      </c>
      <c r="AD378" s="376" t="e">
        <f t="shared" ca="1" si="171"/>
        <v>#N/A</v>
      </c>
      <c r="AE378" s="377">
        <f t="shared" ca="1" si="150"/>
        <v>466.87608689490946</v>
      </c>
      <c r="AF378" s="344"/>
      <c r="AG378" s="359">
        <f t="shared" ca="1" si="172"/>
        <v>37.618564805982516</v>
      </c>
      <c r="AH378" s="357">
        <f t="shared" ca="1" si="173"/>
        <v>47.146842063557422</v>
      </c>
    </row>
    <row r="379" spans="1:34" x14ac:dyDescent="0.25">
      <c r="A379" s="402">
        <f t="shared" ca="1" si="151"/>
        <v>0.01</v>
      </c>
      <c r="B379" s="357">
        <f t="shared" ca="1" si="152"/>
        <v>3.749999999999964</v>
      </c>
      <c r="C379" s="342"/>
      <c r="D379" s="359">
        <f t="shared" ca="1" si="153"/>
        <v>11.21124364392092</v>
      </c>
      <c r="E379" s="360">
        <f t="shared" ca="1" si="154"/>
        <v>35.936564524123796</v>
      </c>
      <c r="F379" s="357">
        <f t="shared" ca="1" si="155"/>
        <v>37.644769275954793</v>
      </c>
      <c r="G379" s="359">
        <f t="shared" ca="1" si="156"/>
        <v>55.097892870055318</v>
      </c>
      <c r="H379" s="360">
        <f t="shared" ca="1" si="157"/>
        <v>224.72435425911868</v>
      </c>
      <c r="I379" s="357">
        <f t="shared" ca="1" si="158"/>
        <v>231.38023510208896</v>
      </c>
      <c r="J379" s="359">
        <f t="shared" ca="1" si="159"/>
        <v>106.81983759899377</v>
      </c>
      <c r="K379" s="360">
        <f t="shared" ca="1" si="160"/>
        <v>469.12153360927442</v>
      </c>
      <c r="L379" s="357">
        <f t="shared" ca="1" si="145"/>
        <v>481.12939112113384</v>
      </c>
      <c r="M379" s="359">
        <f t="shared" ca="1" si="161"/>
        <v>1.3303593557949653</v>
      </c>
      <c r="N379" s="357">
        <f t="shared" ca="1" si="162"/>
        <v>76.22397632279457</v>
      </c>
      <c r="O379" s="343"/>
      <c r="P379" s="363">
        <f t="shared" ca="1" si="163"/>
        <v>12</v>
      </c>
      <c r="Q379" s="357">
        <f t="shared" ca="1" si="164"/>
        <v>652.94666666666751</v>
      </c>
      <c r="R379" s="359">
        <f t="shared" ca="1" si="165"/>
        <v>0.32708204996743628</v>
      </c>
      <c r="S379" s="360">
        <f t="shared" ca="1" si="166"/>
        <v>10.838254099917481</v>
      </c>
      <c r="T379" s="357">
        <f t="shared" ca="1" si="146"/>
        <v>106.3232727201905</v>
      </c>
      <c r="U379" s="364">
        <f t="shared" ca="1" si="147"/>
        <v>0</v>
      </c>
      <c r="V379" s="359">
        <f t="shared" ca="1" si="148"/>
        <v>1.1688496783823599</v>
      </c>
      <c r="W379" s="357">
        <f t="shared" ca="1" si="149"/>
        <v>142.89312048302435</v>
      </c>
      <c r="X379" s="343"/>
      <c r="Y379" s="367" t="str">
        <f t="shared" ca="1" si="167"/>
        <v/>
      </c>
      <c r="Z379" s="368" t="str">
        <f t="shared" ca="1" si="168"/>
        <v/>
      </c>
      <c r="AA379" s="369" t="str">
        <f t="shared" ca="1" si="169"/>
        <v/>
      </c>
      <c r="AB379" s="344"/>
      <c r="AC379" s="363" t="e">
        <f t="shared" ca="1" si="170"/>
        <v>#N/A</v>
      </c>
      <c r="AD379" s="376" t="e">
        <f t="shared" ca="1" si="171"/>
        <v>#N/A</v>
      </c>
      <c r="AE379" s="377">
        <f t="shared" ca="1" si="150"/>
        <v>469.12153360927442</v>
      </c>
      <c r="AF379" s="344"/>
      <c r="AG379" s="359">
        <f t="shared" ca="1" si="172"/>
        <v>37.572278692538546</v>
      </c>
      <c r="AH379" s="357">
        <f t="shared" ca="1" si="173"/>
        <v>47.100320060517411</v>
      </c>
    </row>
    <row r="380" spans="1:34" x14ac:dyDescent="0.25">
      <c r="A380" s="402">
        <f t="shared" ca="1" si="151"/>
        <v>0.01</v>
      </c>
      <c r="B380" s="357">
        <f t="shared" ca="1" si="152"/>
        <v>3.7599999999999638</v>
      </c>
      <c r="C380" s="342"/>
      <c r="D380" s="359">
        <f t="shared" ca="1" si="153"/>
        <v>11.204775780653748</v>
      </c>
      <c r="E380" s="360">
        <f t="shared" ca="1" si="154"/>
        <v>35.890223198446549</v>
      </c>
      <c r="F380" s="357">
        <f t="shared" ca="1" si="155"/>
        <v>37.598605313615501</v>
      </c>
      <c r="G380" s="359">
        <f t="shared" ca="1" si="156"/>
        <v>55.209940627861855</v>
      </c>
      <c r="H380" s="360">
        <f t="shared" ca="1" si="157"/>
        <v>225.08325649110316</v>
      </c>
      <c r="I380" s="357">
        <f t="shared" ca="1" si="158"/>
        <v>231.75549593649717</v>
      </c>
      <c r="J380" s="359">
        <f t="shared" ca="1" si="159"/>
        <v>107.37137676648335</v>
      </c>
      <c r="K380" s="360">
        <f t="shared" ca="1" si="160"/>
        <v>471.37057166302554</v>
      </c>
      <c r="L380" s="357">
        <f t="shared" ca="1" si="145"/>
        <v>483.44475214718966</v>
      </c>
      <c r="M380" s="359">
        <f t="shared" ca="1" si="161"/>
        <v>1.3302585587736293</v>
      </c>
      <c r="N380" s="357">
        <f t="shared" ca="1" si="162"/>
        <v>76.218201078884533</v>
      </c>
      <c r="O380" s="343"/>
      <c r="P380" s="363">
        <f t="shared" ca="1" si="163"/>
        <v>12</v>
      </c>
      <c r="Q380" s="357">
        <f t="shared" ca="1" si="164"/>
        <v>652.72000000000082</v>
      </c>
      <c r="R380" s="359">
        <f t="shared" ca="1" si="165"/>
        <v>0.32696850532163679</v>
      </c>
      <c r="S380" s="360">
        <f t="shared" ca="1" si="166"/>
        <v>10.834984414864264</v>
      </c>
      <c r="T380" s="357">
        <f t="shared" ca="1" si="146"/>
        <v>106.29119710981844</v>
      </c>
      <c r="U380" s="364">
        <f t="shared" ca="1" si="147"/>
        <v>0</v>
      </c>
      <c r="V380" s="359">
        <f t="shared" ca="1" si="148"/>
        <v>1.1685866838259968</v>
      </c>
      <c r="W380" s="357">
        <f t="shared" ca="1" si="149"/>
        <v>143.32473906669148</v>
      </c>
      <c r="X380" s="343"/>
      <c r="Y380" s="367" t="str">
        <f t="shared" ca="1" si="167"/>
        <v/>
      </c>
      <c r="Z380" s="368" t="str">
        <f t="shared" ca="1" si="168"/>
        <v/>
      </c>
      <c r="AA380" s="369" t="str">
        <f t="shared" ca="1" si="169"/>
        <v/>
      </c>
      <c r="AB380" s="344"/>
      <c r="AC380" s="363" t="e">
        <f t="shared" ca="1" si="170"/>
        <v>#N/A</v>
      </c>
      <c r="AD380" s="376" t="e">
        <f t="shared" ca="1" si="171"/>
        <v>#N/A</v>
      </c>
      <c r="AE380" s="377">
        <f t="shared" ca="1" si="150"/>
        <v>471.37057166302554</v>
      </c>
      <c r="AF380" s="344"/>
      <c r="AG380" s="359">
        <f t="shared" ca="1" si="172"/>
        <v>37.525965708570595</v>
      </c>
      <c r="AH380" s="357">
        <f t="shared" ca="1" si="173"/>
        <v>47.053771375762828</v>
      </c>
    </row>
    <row r="381" spans="1:34" x14ac:dyDescent="0.25">
      <c r="A381" s="402">
        <f t="shared" ca="1" si="151"/>
        <v>0.01</v>
      </c>
      <c r="B381" s="357">
        <f t="shared" ca="1" si="152"/>
        <v>3.7699999999999636</v>
      </c>
      <c r="C381" s="342"/>
      <c r="D381" s="359">
        <f t="shared" ca="1" si="153"/>
        <v>11.198286832261283</v>
      </c>
      <c r="E381" s="360">
        <f t="shared" ca="1" si="154"/>
        <v>35.843859407608356</v>
      </c>
      <c r="F381" s="357">
        <f t="shared" ca="1" si="155"/>
        <v>37.552415171463878</v>
      </c>
      <c r="G381" s="359">
        <f t="shared" ca="1" si="156"/>
        <v>55.321923496184468</v>
      </c>
      <c r="H381" s="360">
        <f t="shared" ca="1" si="157"/>
        <v>225.44169508517925</v>
      </c>
      <c r="I381" s="357">
        <f t="shared" ca="1" si="158"/>
        <v>232.13029337464039</v>
      </c>
      <c r="J381" s="359">
        <f t="shared" ca="1" si="159"/>
        <v>107.92403608710359</v>
      </c>
      <c r="K381" s="360">
        <f t="shared" ca="1" si="160"/>
        <v>473.62319642090694</v>
      </c>
      <c r="L381" s="357">
        <f t="shared" ca="1" si="145"/>
        <v>485.76386213188755</v>
      </c>
      <c r="M381" s="359">
        <f t="shared" ca="1" si="161"/>
        <v>1.3301578831274028</v>
      </c>
      <c r="N381" s="357">
        <f t="shared" ca="1" si="162"/>
        <v>76.212432789255999</v>
      </c>
      <c r="O381" s="343"/>
      <c r="P381" s="363">
        <f t="shared" ca="1" si="163"/>
        <v>12</v>
      </c>
      <c r="Q381" s="357">
        <f t="shared" ca="1" si="164"/>
        <v>652.49333333333425</v>
      </c>
      <c r="R381" s="359">
        <f t="shared" ca="1" si="165"/>
        <v>0.32685496067583736</v>
      </c>
      <c r="S381" s="360">
        <f t="shared" ca="1" si="166"/>
        <v>10.831715865257506</v>
      </c>
      <c r="T381" s="357">
        <f t="shared" ca="1" si="146"/>
        <v>106.25913263817614</v>
      </c>
      <c r="U381" s="364">
        <f t="shared" ca="1" si="147"/>
        <v>0</v>
      </c>
      <c r="V381" s="359">
        <f t="shared" ca="1" si="148"/>
        <v>1.1683233277716047</v>
      </c>
      <c r="W381" s="357">
        <f t="shared" ca="1" si="149"/>
        <v>143.75628184867614</v>
      </c>
      <c r="X381" s="343"/>
      <c r="Y381" s="367" t="str">
        <f t="shared" ca="1" si="167"/>
        <v/>
      </c>
      <c r="Z381" s="368" t="str">
        <f t="shared" ca="1" si="168"/>
        <v/>
      </c>
      <c r="AA381" s="369" t="str">
        <f t="shared" ca="1" si="169"/>
        <v/>
      </c>
      <c r="AB381" s="344"/>
      <c r="AC381" s="363" t="e">
        <f t="shared" ca="1" si="170"/>
        <v>#N/A</v>
      </c>
      <c r="AD381" s="376" t="e">
        <f t="shared" ca="1" si="171"/>
        <v>#N/A</v>
      </c>
      <c r="AE381" s="377">
        <f t="shared" ca="1" si="150"/>
        <v>473.62319642090694</v>
      </c>
      <c r="AF381" s="344"/>
      <c r="AG381" s="359">
        <f t="shared" ca="1" si="172"/>
        <v>37.479626175496293</v>
      </c>
      <c r="AH381" s="357">
        <f t="shared" ca="1" si="173"/>
        <v>47.007196329788343</v>
      </c>
    </row>
    <row r="382" spans="1:34" x14ac:dyDescent="0.25">
      <c r="A382" s="402">
        <f t="shared" ca="1" si="151"/>
        <v>0.01</v>
      </c>
      <c r="B382" s="357">
        <f t="shared" ca="1" si="152"/>
        <v>3.7799999999999634</v>
      </c>
      <c r="C382" s="342"/>
      <c r="D382" s="359">
        <f t="shared" ca="1" si="153"/>
        <v>11.191776909344895</v>
      </c>
      <c r="E382" s="360">
        <f t="shared" ca="1" si="154"/>
        <v>35.797473457279509</v>
      </c>
      <c r="F382" s="357">
        <f t="shared" ca="1" si="155"/>
        <v>37.506199171779279</v>
      </c>
      <c r="G382" s="359">
        <f t="shared" ca="1" si="156"/>
        <v>55.43384126527792</v>
      </c>
      <c r="H382" s="360">
        <f t="shared" ca="1" si="157"/>
        <v>225.79966981975204</v>
      </c>
      <c r="I382" s="357">
        <f t="shared" ca="1" si="158"/>
        <v>232.50462715424197</v>
      </c>
      <c r="J382" s="359">
        <f t="shared" ca="1" si="159"/>
        <v>108.47781491091089</v>
      </c>
      <c r="K382" s="360">
        <f t="shared" ca="1" si="160"/>
        <v>475.8794032454316</v>
      </c>
      <c r="L382" s="357">
        <f t="shared" ca="1" si="145"/>
        <v>488.08671643579271</v>
      </c>
      <c r="M382" s="359">
        <f t="shared" ca="1" si="161"/>
        <v>1.3300573283152055</v>
      </c>
      <c r="N382" s="357">
        <f t="shared" ca="1" si="162"/>
        <v>76.206671422907363</v>
      </c>
      <c r="O382" s="343"/>
      <c r="P382" s="363">
        <f t="shared" ca="1" si="163"/>
        <v>12</v>
      </c>
      <c r="Q382" s="357">
        <f t="shared" ca="1" si="164"/>
        <v>652.26666666666756</v>
      </c>
      <c r="R382" s="359">
        <f t="shared" ca="1" si="165"/>
        <v>0.32674141603003787</v>
      </c>
      <c r="S382" s="360">
        <f t="shared" ca="1" si="166"/>
        <v>10.828448451097206</v>
      </c>
      <c r="T382" s="357">
        <f t="shared" ca="1" si="146"/>
        <v>106.22707930526359</v>
      </c>
      <c r="U382" s="364">
        <f t="shared" ca="1" si="147"/>
        <v>0</v>
      </c>
      <c r="V382" s="359">
        <f t="shared" ca="1" si="148"/>
        <v>1.1680596110188797</v>
      </c>
      <c r="W382" s="357">
        <f t="shared" ca="1" si="149"/>
        <v>144.18774527235678</v>
      </c>
      <c r="X382" s="343"/>
      <c r="Y382" s="367" t="str">
        <f t="shared" ca="1" si="167"/>
        <v/>
      </c>
      <c r="Z382" s="368" t="str">
        <f t="shared" ca="1" si="168"/>
        <v/>
      </c>
      <c r="AA382" s="369" t="str">
        <f t="shared" ca="1" si="169"/>
        <v/>
      </c>
      <c r="AB382" s="344"/>
      <c r="AC382" s="363" t="e">
        <f t="shared" ca="1" si="170"/>
        <v>#N/A</v>
      </c>
      <c r="AD382" s="376" t="e">
        <f t="shared" ca="1" si="171"/>
        <v>#N/A</v>
      </c>
      <c r="AE382" s="377">
        <f t="shared" ca="1" si="150"/>
        <v>475.8794032454316</v>
      </c>
      <c r="AF382" s="344"/>
      <c r="AG382" s="359">
        <f t="shared" ca="1" si="172"/>
        <v>37.433260414300761</v>
      </c>
      <c r="AH382" s="357">
        <f t="shared" ca="1" si="173"/>
        <v>46.960595242660638</v>
      </c>
    </row>
    <row r="383" spans="1:34" x14ac:dyDescent="0.25">
      <c r="A383" s="402">
        <f t="shared" ca="1" si="151"/>
        <v>0.01</v>
      </c>
      <c r="B383" s="357">
        <f t="shared" ca="1" si="152"/>
        <v>3.7899999999999632</v>
      </c>
      <c r="C383" s="342"/>
      <c r="D383" s="359">
        <f t="shared" ca="1" si="153"/>
        <v>11.185246122306873</v>
      </c>
      <c r="E383" s="360">
        <f t="shared" ca="1" si="154"/>
        <v>35.751065652715809</v>
      </c>
      <c r="F383" s="357">
        <f t="shared" ca="1" si="155"/>
        <v>37.4599576364066</v>
      </c>
      <c r="G383" s="359">
        <f t="shared" ca="1" si="156"/>
        <v>55.545693726500986</v>
      </c>
      <c r="H383" s="360">
        <f t="shared" ca="1" si="157"/>
        <v>226.15718047627919</v>
      </c>
      <c r="I383" s="357">
        <f t="shared" ca="1" si="158"/>
        <v>232.87849701623068</v>
      </c>
      <c r="J383" s="359">
        <f t="shared" ca="1" si="159"/>
        <v>109.03271258586979</v>
      </c>
      <c r="K383" s="360">
        <f t="shared" ca="1" si="160"/>
        <v>478.13918749691175</v>
      </c>
      <c r="L383" s="357">
        <f t="shared" ca="1" si="145"/>
        <v>490.41331041687664</v>
      </c>
      <c r="M383" s="359">
        <f t="shared" ca="1" si="161"/>
        <v>1.3299568937989512</v>
      </c>
      <c r="N383" s="357">
        <f t="shared" ca="1" si="162"/>
        <v>76.200916949008558</v>
      </c>
      <c r="O383" s="343"/>
      <c r="P383" s="363">
        <f t="shared" ca="1" si="163"/>
        <v>12</v>
      </c>
      <c r="Q383" s="357">
        <f t="shared" ca="1" si="164"/>
        <v>652.04000000000087</v>
      </c>
      <c r="R383" s="359">
        <f t="shared" ca="1" si="165"/>
        <v>0.32662787138423838</v>
      </c>
      <c r="S383" s="360">
        <f t="shared" ca="1" si="166"/>
        <v>10.825182172383363</v>
      </c>
      <c r="T383" s="357">
        <f t="shared" ca="1" si="146"/>
        <v>106.19503711108079</v>
      </c>
      <c r="U383" s="364">
        <f t="shared" ca="1" si="147"/>
        <v>0</v>
      </c>
      <c r="V383" s="359">
        <f t="shared" ca="1" si="148"/>
        <v>1.1677955343675628</v>
      </c>
      <c r="W383" s="357">
        <f t="shared" ca="1" si="149"/>
        <v>144.61912579019165</v>
      </c>
      <c r="X383" s="343"/>
      <c r="Y383" s="367" t="str">
        <f t="shared" ca="1" si="167"/>
        <v/>
      </c>
      <c r="Z383" s="368" t="str">
        <f t="shared" ca="1" si="168"/>
        <v/>
      </c>
      <c r="AA383" s="369" t="str">
        <f t="shared" ca="1" si="169"/>
        <v/>
      </c>
      <c r="AB383" s="344"/>
      <c r="AC383" s="363" t="e">
        <f t="shared" ca="1" si="170"/>
        <v>#N/A</v>
      </c>
      <c r="AD383" s="376" t="e">
        <f t="shared" ca="1" si="171"/>
        <v>#N/A</v>
      </c>
      <c r="AE383" s="377">
        <f t="shared" ca="1" si="150"/>
        <v>478.13918749691175</v>
      </c>
      <c r="AF383" s="344"/>
      <c r="AG383" s="359">
        <f t="shared" ca="1" si="172"/>
        <v>37.386868745532141</v>
      </c>
      <c r="AH383" s="357">
        <f t="shared" ca="1" si="173"/>
        <v>46.913968434013995</v>
      </c>
    </row>
    <row r="384" spans="1:34" x14ac:dyDescent="0.25">
      <c r="A384" s="402">
        <f t="shared" ca="1" si="151"/>
        <v>0.01</v>
      </c>
      <c r="B384" s="357">
        <f t="shared" ca="1" si="152"/>
        <v>3.799999999999963</v>
      </c>
      <c r="C384" s="342"/>
      <c r="D384" s="359">
        <f t="shared" ca="1" si="153"/>
        <v>11.178694581350427</v>
      </c>
      <c r="E384" s="360">
        <f t="shared" ca="1" si="154"/>
        <v>35.704636298753996</v>
      </c>
      <c r="F384" s="357">
        <f t="shared" ca="1" si="155"/>
        <v>37.413690886751802</v>
      </c>
      <c r="G384" s="359">
        <f t="shared" ca="1" si="156"/>
        <v>55.657480672314492</v>
      </c>
      <c r="H384" s="360">
        <f t="shared" ca="1" si="157"/>
        <v>226.51422683926674</v>
      </c>
      <c r="I384" s="357">
        <f t="shared" ca="1" si="158"/>
        <v>233.25190270473647</v>
      </c>
      <c r="J384" s="359">
        <f t="shared" ca="1" si="159"/>
        <v>109.58872845786387</v>
      </c>
      <c r="K384" s="360">
        <f t="shared" ca="1" si="160"/>
        <v>480.40254453348945</v>
      </c>
      <c r="L384" s="357">
        <f t="shared" ca="1" si="145"/>
        <v>492.74363943054885</v>
      </c>
      <c r="M384" s="359">
        <f t="shared" ca="1" si="161"/>
        <v>1.3298565790435259</v>
      </c>
      <c r="N384" s="357">
        <f t="shared" ca="1" si="162"/>
        <v>76.195169336899795</v>
      </c>
      <c r="O384" s="343"/>
      <c r="P384" s="363">
        <f t="shared" ca="1" si="163"/>
        <v>12</v>
      </c>
      <c r="Q384" s="357">
        <f t="shared" ca="1" si="164"/>
        <v>651.81333333333419</v>
      </c>
      <c r="R384" s="359">
        <f t="shared" ca="1" si="165"/>
        <v>0.32651432673843889</v>
      </c>
      <c r="S384" s="360">
        <f t="shared" ca="1" si="166"/>
        <v>10.821917029115978</v>
      </c>
      <c r="T384" s="357">
        <f t="shared" ca="1" si="146"/>
        <v>106.16300605562775</v>
      </c>
      <c r="U384" s="364">
        <f t="shared" ca="1" si="147"/>
        <v>0</v>
      </c>
      <c r="V384" s="359">
        <f t="shared" ca="1" si="148"/>
        <v>1.1675310986174343</v>
      </c>
      <c r="W384" s="357">
        <f t="shared" ca="1" si="149"/>
        <v>145.05041986375628</v>
      </c>
      <c r="X384" s="343"/>
      <c r="Y384" s="367" t="str">
        <f t="shared" ca="1" si="167"/>
        <v/>
      </c>
      <c r="Z384" s="368" t="str">
        <f t="shared" ca="1" si="168"/>
        <v/>
      </c>
      <c r="AA384" s="369" t="str">
        <f t="shared" ca="1" si="169"/>
        <v/>
      </c>
      <c r="AB384" s="344"/>
      <c r="AC384" s="363" t="e">
        <f t="shared" ca="1" si="170"/>
        <v>#N/A</v>
      </c>
      <c r="AD384" s="376" t="e">
        <f t="shared" ca="1" si="171"/>
        <v>#N/A</v>
      </c>
      <c r="AE384" s="377">
        <f t="shared" ca="1" si="150"/>
        <v>480.40254453348945</v>
      </c>
      <c r="AF384" s="344"/>
      <c r="AG384" s="359">
        <f t="shared" ca="1" si="172"/>
        <v>37.340451489297195</v>
      </c>
      <c r="AH384" s="357">
        <f t="shared" ca="1" si="173"/>
        <v>46.867316223045762</v>
      </c>
    </row>
    <row r="385" spans="1:34" x14ac:dyDescent="0.25">
      <c r="A385" s="402">
        <f t="shared" ca="1" si="151"/>
        <v>0.01</v>
      </c>
      <c r="B385" s="357">
        <f t="shared" ca="1" si="152"/>
        <v>3.8099999999999627</v>
      </c>
      <c r="C385" s="342"/>
      <c r="D385" s="359">
        <f t="shared" ca="1" si="153"/>
        <v>11.159400503534924</v>
      </c>
      <c r="E385" s="360">
        <f t="shared" ca="1" si="154"/>
        <v>35.606410274303229</v>
      </c>
      <c r="F385" s="357">
        <f t="shared" ca="1" si="155"/>
        <v>37.31418861800833</v>
      </c>
      <c r="G385" s="359">
        <f t="shared" ca="1" si="156"/>
        <v>55.769074677349842</v>
      </c>
      <c r="H385" s="360">
        <f t="shared" ca="1" si="157"/>
        <v>226.87029094200977</v>
      </c>
      <c r="I385" s="357">
        <f t="shared" ca="1" si="158"/>
        <v>233.62431081220973</v>
      </c>
      <c r="J385" s="359">
        <f t="shared" ca="1" si="159"/>
        <v>110.14586123461218</v>
      </c>
      <c r="K385" s="360">
        <f t="shared" ca="1" si="160"/>
        <v>482.66946712239582</v>
      </c>
      <c r="L385" s="357">
        <f t="shared" ca="1" si="145"/>
        <v>495.07769616428084</v>
      </c>
      <c r="M385" s="359">
        <f t="shared" ca="1" si="161"/>
        <v>1.3297563832881092</v>
      </c>
      <c r="N385" s="357">
        <f t="shared" ca="1" si="162"/>
        <v>76.18942854298929</v>
      </c>
      <c r="O385" s="343"/>
      <c r="P385" s="363">
        <f t="shared" ca="1" si="163"/>
        <v>13</v>
      </c>
      <c r="Q385" s="357">
        <f t="shared" ca="1" si="164"/>
        <v>651.01000000000511</v>
      </c>
      <c r="R385" s="359">
        <f t="shared" ca="1" si="165"/>
        <v>0.32611191115553406</v>
      </c>
      <c r="S385" s="360">
        <f t="shared" ca="1" si="166"/>
        <v>10.818655910004424</v>
      </c>
      <c r="T385" s="357">
        <f t="shared" ca="1" si="146"/>
        <v>106.1310144771434</v>
      </c>
      <c r="U385" s="364">
        <f t="shared" ca="1" si="147"/>
        <v>0</v>
      </c>
      <c r="V385" s="359">
        <f t="shared" ca="1" si="148"/>
        <v>1.1672663048706609</v>
      </c>
      <c r="W385" s="357">
        <f t="shared" ca="1" si="149"/>
        <v>145.48095999546632</v>
      </c>
      <c r="X385" s="343"/>
      <c r="Y385" s="367" t="str">
        <f t="shared" ca="1" si="167"/>
        <v/>
      </c>
      <c r="Z385" s="368" t="str">
        <f t="shared" ca="1" si="168"/>
        <v/>
      </c>
      <c r="AA385" s="369" t="str">
        <f t="shared" ca="1" si="169"/>
        <v/>
      </c>
      <c r="AB385" s="344"/>
      <c r="AC385" s="363" t="e">
        <f t="shared" ca="1" si="170"/>
        <v>#N/A</v>
      </c>
      <c r="AD385" s="376" t="e">
        <f t="shared" ca="1" si="171"/>
        <v>#N/A</v>
      </c>
      <c r="AE385" s="377">
        <f t="shared" ca="1" si="150"/>
        <v>482.66946712239582</v>
      </c>
      <c r="AF385" s="344"/>
      <c r="AG385" s="359">
        <f t="shared" ca="1" si="172"/>
        <v>37.240693477392341</v>
      </c>
      <c r="AH385" s="357">
        <f t="shared" ca="1" si="173"/>
        <v>46.767323440647445</v>
      </c>
    </row>
    <row r="386" spans="1:34" x14ac:dyDescent="0.25">
      <c r="A386" s="402">
        <f t="shared" ca="1" si="151"/>
        <v>0.01</v>
      </c>
      <c r="B386" s="357">
        <f t="shared" ca="1" si="152"/>
        <v>3.8199999999999625</v>
      </c>
      <c r="C386" s="342"/>
      <c r="D386" s="359">
        <f t="shared" ca="1" si="153"/>
        <v>11.127348639510448</v>
      </c>
      <c r="E386" s="360">
        <f t="shared" ca="1" si="154"/>
        <v>35.456392491970156</v>
      </c>
      <c r="F386" s="357">
        <f t="shared" ca="1" si="155"/>
        <v>37.161453904413541</v>
      </c>
      <c r="G386" s="359">
        <f t="shared" ca="1" si="156"/>
        <v>55.880348163744948</v>
      </c>
      <c r="H386" s="360">
        <f t="shared" ca="1" si="157"/>
        <v>227.22485486692946</v>
      </c>
      <c r="I386" s="357">
        <f t="shared" ca="1" si="158"/>
        <v>233.99518794239873</v>
      </c>
      <c r="J386" s="359">
        <f t="shared" ca="1" si="159"/>
        <v>110.70410834881766</v>
      </c>
      <c r="K386" s="360">
        <f t="shared" ca="1" si="160"/>
        <v>484.93994285144049</v>
      </c>
      <c r="L386" s="357">
        <f t="shared" ca="1" si="145"/>
        <v>497.41546797226277</v>
      </c>
      <c r="M386" s="359">
        <f t="shared" ca="1" si="161"/>
        <v>1.3296563055485937</v>
      </c>
      <c r="N386" s="357">
        <f t="shared" ca="1" si="162"/>
        <v>76.18369451089184</v>
      </c>
      <c r="O386" s="343"/>
      <c r="P386" s="363">
        <f t="shared" ca="1" si="163"/>
        <v>13</v>
      </c>
      <c r="Q386" s="357">
        <f t="shared" ca="1" si="164"/>
        <v>649.63000000000523</v>
      </c>
      <c r="R386" s="359">
        <f t="shared" ca="1" si="165"/>
        <v>0.32542062463551963</v>
      </c>
      <c r="S386" s="360">
        <f t="shared" ca="1" si="166"/>
        <v>10.815401703758068</v>
      </c>
      <c r="T386" s="357">
        <f t="shared" ca="1" si="146"/>
        <v>106.09909071386666</v>
      </c>
      <c r="U386" s="364">
        <f t="shared" ca="1" si="147"/>
        <v>0</v>
      </c>
      <c r="V386" s="359">
        <f t="shared" ca="1" si="148"/>
        <v>1.1670011548337178</v>
      </c>
      <c r="W386" s="357">
        <f t="shared" ca="1" si="149"/>
        <v>145.91007516185172</v>
      </c>
      <c r="X386" s="343"/>
      <c r="Y386" s="367" t="str">
        <f t="shared" ca="1" si="167"/>
        <v/>
      </c>
      <c r="Z386" s="368" t="str">
        <f t="shared" ca="1" si="168"/>
        <v/>
      </c>
      <c r="AA386" s="369" t="str">
        <f t="shared" ca="1" si="169"/>
        <v/>
      </c>
      <c r="AB386" s="344"/>
      <c r="AC386" s="363" t="e">
        <f t="shared" ca="1" si="170"/>
        <v>#N/A</v>
      </c>
      <c r="AD386" s="376" t="e">
        <f t="shared" ca="1" si="171"/>
        <v>#N/A</v>
      </c>
      <c r="AE386" s="377">
        <f t="shared" ca="1" si="150"/>
        <v>484.93994285144049</v>
      </c>
      <c r="AF386" s="344"/>
      <c r="AG386" s="359">
        <f t="shared" ca="1" si="172"/>
        <v>37.087595839329467</v>
      </c>
      <c r="AH386" s="357">
        <f t="shared" ca="1" si="173"/>
        <v>46.613991214894988</v>
      </c>
    </row>
    <row r="387" spans="1:34" x14ac:dyDescent="0.25">
      <c r="A387" s="402">
        <f t="shared" ca="1" si="151"/>
        <v>0.01</v>
      </c>
      <c r="B387" s="357">
        <f t="shared" ca="1" si="152"/>
        <v>3.8299999999999623</v>
      </c>
      <c r="C387" s="342"/>
      <c r="D387" s="359">
        <f t="shared" ca="1" si="153"/>
        <v>11.095263838842486</v>
      </c>
      <c r="E387" s="360">
        <f t="shared" ca="1" si="154"/>
        <v>35.30639240513846</v>
      </c>
      <c r="F387" s="357">
        <f t="shared" ca="1" si="155"/>
        <v>37.008731730757063</v>
      </c>
      <c r="G387" s="359">
        <f t="shared" ca="1" si="156"/>
        <v>55.991300802133374</v>
      </c>
      <c r="H387" s="360">
        <f t="shared" ca="1" si="157"/>
        <v>227.57791879098085</v>
      </c>
      <c r="I387" s="357">
        <f t="shared" ca="1" si="158"/>
        <v>234.36453419139437</v>
      </c>
      <c r="J387" s="359">
        <f t="shared" ca="1" si="159"/>
        <v>111.26346659364705</v>
      </c>
      <c r="K387" s="360">
        <f t="shared" ca="1" si="160"/>
        <v>487.21395671973005</v>
      </c>
      <c r="L387" s="357">
        <f t="shared" ca="1" si="145"/>
        <v>499.75693954254461</v>
      </c>
      <c r="M387" s="359">
        <f t="shared" ca="1" si="161"/>
        <v>1.3295563448474943</v>
      </c>
      <c r="N387" s="357">
        <f t="shared" ca="1" si="162"/>
        <v>76.177967184601684</v>
      </c>
      <c r="O387" s="343"/>
      <c r="P387" s="363">
        <f t="shared" ca="1" si="163"/>
        <v>13</v>
      </c>
      <c r="Q387" s="357">
        <f t="shared" ca="1" si="164"/>
        <v>648.25000000000523</v>
      </c>
      <c r="R387" s="359">
        <f t="shared" ca="1" si="165"/>
        <v>0.32472933811550514</v>
      </c>
      <c r="S387" s="360">
        <f t="shared" ca="1" si="166"/>
        <v>10.812154410376912</v>
      </c>
      <c r="T387" s="357">
        <f t="shared" ca="1" si="146"/>
        <v>106.06723476579752</v>
      </c>
      <c r="U387" s="364">
        <f t="shared" ca="1" si="147"/>
        <v>0</v>
      </c>
      <c r="V387" s="359">
        <f t="shared" ca="1" si="148"/>
        <v>1.1667356505142654</v>
      </c>
      <c r="W387" s="357">
        <f t="shared" ca="1" si="149"/>
        <v>146.33775703243461</v>
      </c>
      <c r="X387" s="343"/>
      <c r="Y387" s="367" t="str">
        <f t="shared" ca="1" si="167"/>
        <v/>
      </c>
      <c r="Z387" s="368" t="str">
        <f t="shared" ca="1" si="168"/>
        <v/>
      </c>
      <c r="AA387" s="369" t="str">
        <f t="shared" ca="1" si="169"/>
        <v/>
      </c>
      <c r="AB387" s="344"/>
      <c r="AC387" s="363" t="e">
        <f t="shared" ca="1" si="170"/>
        <v>#N/A</v>
      </c>
      <c r="AD387" s="376" t="e">
        <f t="shared" ca="1" si="171"/>
        <v>#N/A</v>
      </c>
      <c r="AE387" s="377">
        <f t="shared" ca="1" si="150"/>
        <v>487.21395671973005</v>
      </c>
      <c r="AF387" s="344"/>
      <c r="AG387" s="359">
        <f t="shared" ca="1" si="172"/>
        <v>36.934507809378744</v>
      </c>
      <c r="AH387" s="357">
        <f t="shared" ca="1" si="173"/>
        <v>46.460668778096178</v>
      </c>
    </row>
    <row r="388" spans="1:34" x14ac:dyDescent="0.25">
      <c r="A388" s="402">
        <f t="shared" ca="1" si="151"/>
        <v>0.01</v>
      </c>
      <c r="B388" s="357">
        <f t="shared" ca="1" si="152"/>
        <v>3.8399999999999621</v>
      </c>
      <c r="C388" s="342"/>
      <c r="D388" s="359">
        <f t="shared" ca="1" si="153"/>
        <v>11.063146459015185</v>
      </c>
      <c r="E388" s="360">
        <f t="shared" ca="1" si="154"/>
        <v>35.156411038026008</v>
      </c>
      <c r="F388" s="357">
        <f t="shared" ca="1" si="155"/>
        <v>36.856023207180904</v>
      </c>
      <c r="G388" s="359">
        <f t="shared" ca="1" si="156"/>
        <v>56.101932266723523</v>
      </c>
      <c r="H388" s="360">
        <f t="shared" ca="1" si="157"/>
        <v>227.9294829013611</v>
      </c>
      <c r="I388" s="357">
        <f t="shared" ca="1" si="158"/>
        <v>234.73234966604389</v>
      </c>
      <c r="J388" s="359">
        <f t="shared" ca="1" si="159"/>
        <v>111.82393275899133</v>
      </c>
      <c r="K388" s="360">
        <f t="shared" ca="1" si="160"/>
        <v>489.49149372819176</v>
      </c>
      <c r="L388" s="357">
        <f t="shared" ref="L388:L451" ca="1" si="174">SQRT(pos_x^2+pos_z^2)</f>
        <v>502.10209556418289</v>
      </c>
      <c r="M388" s="359">
        <f t="shared" ca="1" si="161"/>
        <v>1.3294565002138761</v>
      </c>
      <c r="N388" s="357">
        <f t="shared" ca="1" si="162"/>
        <v>76.172246508488328</v>
      </c>
      <c r="O388" s="343"/>
      <c r="P388" s="363">
        <f t="shared" ca="1" si="163"/>
        <v>13</v>
      </c>
      <c r="Q388" s="357">
        <f t="shared" ca="1" si="164"/>
        <v>646.87000000000523</v>
      </c>
      <c r="R388" s="359">
        <f t="shared" ca="1" si="165"/>
        <v>0.32403805159549065</v>
      </c>
      <c r="S388" s="360">
        <f t="shared" ca="1" si="166"/>
        <v>10.808914029860958</v>
      </c>
      <c r="T388" s="357">
        <f t="shared" ref="T388:T451" ca="1" si="175">m*g</f>
        <v>106.035446632936</v>
      </c>
      <c r="U388" s="364">
        <f t="shared" ref="U388:U451" ca="1" si="176">IF(pos_xz&lt;L_rampe,Poids*COS(Beta),0)</f>
        <v>0</v>
      </c>
      <c r="V388" s="359">
        <f t="shared" ref="V388:V451" ca="1" si="177">Rho_moyen*(20000-Alt_rampe-pos_z)/(20000+Alt_rampe+pos_z)</f>
        <v>1.1664697939184507</v>
      </c>
      <c r="W388" s="357">
        <f t="shared" ref="W388:W451" ca="1" si="178">1/2*Rho*Sref*Cx*vit_xz^2</f>
        <v>146.76399734168135</v>
      </c>
      <c r="X388" s="343"/>
      <c r="Y388" s="367" t="str">
        <f t="shared" ca="1" si="167"/>
        <v/>
      </c>
      <c r="Z388" s="368" t="str">
        <f t="shared" ca="1" si="168"/>
        <v/>
      </c>
      <c r="AA388" s="369" t="str">
        <f t="shared" ca="1" si="169"/>
        <v/>
      </c>
      <c r="AB388" s="344"/>
      <c r="AC388" s="363" t="e">
        <f t="shared" ca="1" si="170"/>
        <v>#N/A</v>
      </c>
      <c r="AD388" s="376" t="e">
        <f t="shared" ca="1" si="171"/>
        <v>#N/A</v>
      </c>
      <c r="AE388" s="377">
        <f t="shared" ref="AE388:AE451" ca="1" si="179">IF(t&lt;T_para, pos_z, NA())</f>
        <v>489.49149372819176</v>
      </c>
      <c r="AF388" s="344"/>
      <c r="AG388" s="359">
        <f t="shared" ca="1" si="172"/>
        <v>36.781430463191349</v>
      </c>
      <c r="AH388" s="357">
        <f t="shared" ca="1" si="173"/>
        <v>46.307357203951163</v>
      </c>
    </row>
    <row r="389" spans="1:34" x14ac:dyDescent="0.25">
      <c r="A389" s="402">
        <f t="shared" ref="A389:A452" ca="1" si="180">IF(B388+0.01&lt;=T_ini+ROUNDUP(Temps_fin_propu,0), 0.01, IF(K388&gt;0, 0.1, 0.0001))</f>
        <v>0.01</v>
      </c>
      <c r="B389" s="357">
        <f t="shared" ref="B389:B452" ca="1" si="181">B388+pas</f>
        <v>3.8499999999999619</v>
      </c>
      <c r="C389" s="342"/>
      <c r="D389" s="359">
        <f t="shared" ref="D389:D452" ca="1" si="182">IF(AND(L388&lt;L_rampe,Poussee&lt;Poids*SIN(M388)),0,(-W388+Poussee)/m*COS(M388)-U388/m*SIN(M388))</f>
        <v>11.030996855899289</v>
      </c>
      <c r="E389" s="360">
        <f t="shared" ref="E389:E452" ca="1" si="183">IF(AND(L388&lt;L_rampe,Poussee&lt;Poids*SIN(M388)),0,(-W388+Poussee)/m*SIN(M388)+U388/m*COS(M388)-Poids/m)</f>
        <v>35.006449410299503</v>
      </c>
      <c r="F389" s="357">
        <f t="shared" ref="F389:F452" ca="1" si="184">SQRT(acc_x^2+acc_z^2)</f>
        <v>36.703329439585154</v>
      </c>
      <c r="G389" s="359">
        <f t="shared" ref="G389:G452" ca="1" si="185">G388+acc_x*pas</f>
        <v>56.212242235282517</v>
      </c>
      <c r="H389" s="360">
        <f t="shared" ref="H389:H452" ca="1" si="186">H388+acc_z*pas</f>
        <v>228.27954739546411</v>
      </c>
      <c r="I389" s="357">
        <f t="shared" ref="I389:I452" ca="1" si="187">SQRT(vit_x^2+vit_z^2)</f>
        <v>235.09863448390342</v>
      </c>
      <c r="J389" s="359">
        <f t="shared" ref="J389:J452" ca="1" si="188">J388+0.5*(vit_x+G388)*pas*(K388&gt;=0)</f>
        <v>112.38550363150136</v>
      </c>
      <c r="K389" s="360">
        <f t="shared" ref="K389:K452" ca="1" si="189">K388+0.5*(vit_z+H388)*pas</f>
        <v>491.77253887967589</v>
      </c>
      <c r="L389" s="357">
        <f t="shared" ca="1" si="174"/>
        <v>504.45092072734741</v>
      </c>
      <c r="M389" s="359">
        <f t="shared" ref="M389:M452" ca="1" si="190">IF(AND(L388&gt;L_rampe,G389&gt;0),ATAN2(G389,H389),$M$4)</f>
        <v>1.3293567706832816</v>
      </c>
      <c r="N389" s="357">
        <f t="shared" ref="N389:N452" ca="1" si="191">DEGREES(Beta)</f>
        <v>76.166532427292438</v>
      </c>
      <c r="O389" s="343"/>
      <c r="P389" s="363">
        <f t="shared" ref="P389:P452" ca="1" si="192">MATCH(t-pas/2-T_ini,CdP_t)</f>
        <v>13</v>
      </c>
      <c r="Q389" s="357">
        <f t="shared" ref="Q389:Q452" ca="1" si="193">(INDEX(CdP,2,i_P+1)-INDEX(CdP,2,i_P+0))/(INDEX(CdP,1,i_P+1)-INDEX(CdP,1,i_P+0))*(t-pas/2-T_ini-INDEX(CdP,1,i_P+0))+INDEX(CdP,2,i_P+0)</f>
        <v>645.49000000000524</v>
      </c>
      <c r="R389" s="359">
        <f t="shared" ref="R389:R452" ca="1" si="194">Poussee/(g*ISP)</f>
        <v>0.32334676507547616</v>
      </c>
      <c r="S389" s="360">
        <f t="shared" ref="S389:S452" ca="1" si="195">S388-Débit*pas</f>
        <v>10.805680562210203</v>
      </c>
      <c r="T389" s="357">
        <f t="shared" ca="1" si="175"/>
        <v>106.00372631528209</v>
      </c>
      <c r="U389" s="364">
        <f t="shared" ca="1" si="176"/>
        <v>0</v>
      </c>
      <c r="V389" s="359">
        <f t="shared" ca="1" si="177"/>
        <v>1.16620358705089</v>
      </c>
      <c r="W389" s="357">
        <f t="shared" ca="1" si="178"/>
        <v>147.18878788898274</v>
      </c>
      <c r="X389" s="343"/>
      <c r="Y389" s="367" t="str">
        <f t="shared" ref="Y389:Y452" ca="1" si="196">IF(AND(pos_z&lt;=0,K388&gt;0),"Impact balistique","") &amp; IF(AND(H390&lt;0,vit_z&gt;=0),"Apogée","") &amp; IF(AND(Poussee=0,Q388&gt;0),"Fin de propulsion","") &amp; IF(AND(L390&gt;L_rampe,pos_xz&lt;=L_rampe),"Sortie de rampe","")</f>
        <v/>
      </c>
      <c r="Z389" s="368" t="str">
        <f t="shared" ref="Z389:Z452" ca="1" si="197">IF(ABS(t-T_para)&lt;pas/2,"Para","")</f>
        <v/>
      </c>
      <c r="AA389" s="369" t="str">
        <f t="shared" ref="AA389:AA452" ca="1" si="198">IF(ABS(t-T_satellite)&lt;pas/2,"Satellite","")</f>
        <v/>
      </c>
      <c r="AB389" s="344"/>
      <c r="AC389" s="363" t="e">
        <f t="shared" ref="AC389:AC452" ca="1" si="199">IF(ABS(t-ROUND(t,0))&lt;0.001,t,NA())</f>
        <v>#N/A</v>
      </c>
      <c r="AD389" s="376" t="e">
        <f t="shared" ref="AD389:AD452" ca="1" si="200">IF(ABS(t-ROUND(t,0))&lt;0.001,pos_x,NA())</f>
        <v>#N/A</v>
      </c>
      <c r="AE389" s="377">
        <f t="shared" ca="1" si="179"/>
        <v>491.77253887967589</v>
      </c>
      <c r="AF389" s="344"/>
      <c r="AG389" s="359">
        <f t="shared" ref="AG389:AG452" ca="1" si="201">IF(AND(L388&lt;L_rampe,Poussee&lt;Poids*SIN(M388)),0,(-W388+Poussee)/m-Poids*SIN(M388)/m)</f>
        <v>36.628364871644621</v>
      </c>
      <c r="AH389" s="357">
        <f t="shared" ref="AH389:AH452" ca="1" si="202">IF(AND(L388&lt;L_rampe,Poussee&lt;Poids*SIN(M388)), g*SIN(M388), (-W388+Poussee)/m)</f>
        <v>46.154057561397508</v>
      </c>
    </row>
    <row r="390" spans="1:34" x14ac:dyDescent="0.25">
      <c r="A390" s="402">
        <f t="shared" ca="1" si="180"/>
        <v>0.01</v>
      </c>
      <c r="B390" s="357">
        <f t="shared" ca="1" si="181"/>
        <v>3.8599999999999617</v>
      </c>
      <c r="C390" s="342"/>
      <c r="D390" s="359">
        <f t="shared" ca="1" si="182"/>
        <v>10.99881538375403</v>
      </c>
      <c r="E390" s="360">
        <f t="shared" ca="1" si="183"/>
        <v>34.856508537061885</v>
      </c>
      <c r="F390" s="357">
        <f t="shared" ca="1" si="184"/>
        <v>36.550651529626286</v>
      </c>
      <c r="G390" s="359">
        <f t="shared" ca="1" si="185"/>
        <v>56.322230389120058</v>
      </c>
      <c r="H390" s="360">
        <f t="shared" ca="1" si="186"/>
        <v>228.62811248083472</v>
      </c>
      <c r="I390" s="357">
        <f t="shared" ca="1" si="187"/>
        <v>235.46338877318982</v>
      </c>
      <c r="J390" s="359">
        <f t="shared" ca="1" si="188"/>
        <v>112.94817599462338</v>
      </c>
      <c r="K390" s="360">
        <f t="shared" ca="1" si="189"/>
        <v>494.05707717905739</v>
      </c>
      <c r="L390" s="357">
        <f t="shared" ca="1" si="174"/>
        <v>506.80339972342875</v>
      </c>
      <c r="M390" s="359">
        <f t="shared" ca="1" si="190"/>
        <v>1.3292571552976602</v>
      </c>
      <c r="N390" s="357">
        <f t="shared" ca="1" si="191"/>
        <v>76.160824886121773</v>
      </c>
      <c r="O390" s="343"/>
      <c r="P390" s="363">
        <f t="shared" ca="1" si="192"/>
        <v>13</v>
      </c>
      <c r="Q390" s="357">
        <f t="shared" ca="1" si="193"/>
        <v>644.11000000000524</v>
      </c>
      <c r="R390" s="359">
        <f t="shared" ca="1" si="194"/>
        <v>0.32265547855546167</v>
      </c>
      <c r="S390" s="360">
        <f t="shared" ca="1" si="195"/>
        <v>10.802454007424648</v>
      </c>
      <c r="T390" s="357">
        <f t="shared" ca="1" si="175"/>
        <v>105.9720738128358</v>
      </c>
      <c r="U390" s="364">
        <f t="shared" ca="1" si="176"/>
        <v>0</v>
      </c>
      <c r="V390" s="359">
        <f t="shared" ca="1" si="177"/>
        <v>1.1659370319146536</v>
      </c>
      <c r="W390" s="357">
        <f t="shared" ca="1" si="178"/>
        <v>147.61212053863122</v>
      </c>
      <c r="X390" s="343"/>
      <c r="Y390" s="367" t="str">
        <f t="shared" ca="1" si="196"/>
        <v/>
      </c>
      <c r="Z390" s="368" t="str">
        <f t="shared" ca="1" si="197"/>
        <v/>
      </c>
      <c r="AA390" s="369" t="str">
        <f t="shared" ca="1" si="198"/>
        <v/>
      </c>
      <c r="AB390" s="344"/>
      <c r="AC390" s="363" t="e">
        <f t="shared" ca="1" si="199"/>
        <v>#N/A</v>
      </c>
      <c r="AD390" s="376" t="e">
        <f t="shared" ca="1" si="200"/>
        <v>#N/A</v>
      </c>
      <c r="AE390" s="377">
        <f t="shared" ca="1" si="179"/>
        <v>494.05707717905739</v>
      </c>
      <c r="AF390" s="344"/>
      <c r="AG390" s="359">
        <f t="shared" ca="1" si="201"/>
        <v>36.475312100830081</v>
      </c>
      <c r="AH390" s="357">
        <f t="shared" ca="1" si="202"/>
        <v>46.000770914598014</v>
      </c>
    </row>
    <row r="391" spans="1:34" x14ac:dyDescent="0.25">
      <c r="A391" s="402">
        <f t="shared" ca="1" si="180"/>
        <v>0.01</v>
      </c>
      <c r="B391" s="357">
        <f t="shared" ca="1" si="181"/>
        <v>3.8699999999999615</v>
      </c>
      <c r="C391" s="342"/>
      <c r="D391" s="359">
        <f t="shared" ca="1" si="182"/>
        <v>10.96660239522898</v>
      </c>
      <c r="E391" s="360">
        <f t="shared" ca="1" si="183"/>
        <v>34.706589428840182</v>
      </c>
      <c r="F391" s="357">
        <f t="shared" ca="1" si="184"/>
        <v>36.397990574716111</v>
      </c>
      <c r="G391" s="359">
        <f t="shared" ca="1" si="185"/>
        <v>56.431896413072351</v>
      </c>
      <c r="H391" s="360">
        <f t="shared" ca="1" si="186"/>
        <v>228.97517837512311</v>
      </c>
      <c r="I391" s="357">
        <f t="shared" ca="1" si="187"/>
        <v>235.82661267273286</v>
      </c>
      <c r="J391" s="359">
        <f t="shared" ca="1" si="188"/>
        <v>113.51194662863435</v>
      </c>
      <c r="K391" s="360">
        <f t="shared" ca="1" si="189"/>
        <v>496.34509363333717</v>
      </c>
      <c r="L391" s="357">
        <f t="shared" ca="1" si="174"/>
        <v>509.15951724514406</v>
      </c>
      <c r="M391" s="359">
        <f t="shared" ca="1" si="190"/>
        <v>1.3291576531052971</v>
      </c>
      <c r="N391" s="357">
        <f t="shared" ca="1" si="191"/>
        <v>76.155123830447067</v>
      </c>
      <c r="O391" s="343"/>
      <c r="P391" s="363">
        <f t="shared" ca="1" si="192"/>
        <v>13</v>
      </c>
      <c r="Q391" s="357">
        <f t="shared" ca="1" si="193"/>
        <v>642.73000000000536</v>
      </c>
      <c r="R391" s="359">
        <f t="shared" ca="1" si="194"/>
        <v>0.32196419203544724</v>
      </c>
      <c r="S391" s="360">
        <f t="shared" ca="1" si="195"/>
        <v>10.799234365504294</v>
      </c>
      <c r="T391" s="357">
        <f t="shared" ca="1" si="175"/>
        <v>105.94048912559713</v>
      </c>
      <c r="U391" s="364">
        <f t="shared" ca="1" si="176"/>
        <v>0</v>
      </c>
      <c r="V391" s="359">
        <f t="shared" ca="1" si="177"/>
        <v>1.1656701305112489</v>
      </c>
      <c r="W391" s="357">
        <f t="shared" ca="1" si="178"/>
        <v>148.03398721979576</v>
      </c>
      <c r="X391" s="343"/>
      <c r="Y391" s="367" t="str">
        <f t="shared" ca="1" si="196"/>
        <v/>
      </c>
      <c r="Z391" s="368" t="str">
        <f t="shared" ca="1" si="197"/>
        <v/>
      </c>
      <c r="AA391" s="369" t="str">
        <f t="shared" ca="1" si="198"/>
        <v/>
      </c>
      <c r="AB391" s="344"/>
      <c r="AC391" s="363" t="e">
        <f t="shared" ca="1" si="199"/>
        <v>#N/A</v>
      </c>
      <c r="AD391" s="376" t="e">
        <f t="shared" ca="1" si="200"/>
        <v>#N/A</v>
      </c>
      <c r="AE391" s="377">
        <f t="shared" ca="1" si="179"/>
        <v>496.34509363333717</v>
      </c>
      <c r="AF391" s="344"/>
      <c r="AG391" s="359">
        <f t="shared" ca="1" si="201"/>
        <v>36.322273212041665</v>
      </c>
      <c r="AH391" s="357">
        <f t="shared" ca="1" si="202"/>
        <v>45.847498322928892</v>
      </c>
    </row>
    <row r="392" spans="1:34" x14ac:dyDescent="0.25">
      <c r="A392" s="402">
        <f t="shared" ca="1" si="180"/>
        <v>0.01</v>
      </c>
      <c r="B392" s="357">
        <f t="shared" ca="1" si="181"/>
        <v>3.8799999999999613</v>
      </c>
      <c r="C392" s="342"/>
      <c r="D392" s="359">
        <f t="shared" ca="1" si="182"/>
        <v>10.934358241365864</v>
      </c>
      <c r="E392" s="360">
        <f t="shared" ca="1" si="183"/>
        <v>34.55669309157345</v>
      </c>
      <c r="F392" s="357">
        <f t="shared" ca="1" si="184"/>
        <v>36.245347668021147</v>
      </c>
      <c r="G392" s="359">
        <f t="shared" ca="1" si="185"/>
        <v>56.541239995486009</v>
      </c>
      <c r="H392" s="360">
        <f t="shared" ca="1" si="186"/>
        <v>229.32074530603884</v>
      </c>
      <c r="I392" s="357">
        <f t="shared" ca="1" si="187"/>
        <v>236.18830633192721</v>
      </c>
      <c r="J392" s="359">
        <f t="shared" ca="1" si="188"/>
        <v>114.07681231067714</v>
      </c>
      <c r="K392" s="360">
        <f t="shared" ca="1" si="189"/>
        <v>498.63657325174296</v>
      </c>
      <c r="L392" s="357">
        <f t="shared" ca="1" si="174"/>
        <v>511.51925798664342</v>
      </c>
      <c r="M392" s="359">
        <f t="shared" ca="1" si="190"/>
        <v>1.3290582631607457</v>
      </c>
      <c r="N392" s="357">
        <f t="shared" ca="1" si="191"/>
        <v>76.149429206098233</v>
      </c>
      <c r="O392" s="343"/>
      <c r="P392" s="363">
        <f t="shared" ca="1" si="192"/>
        <v>13</v>
      </c>
      <c r="Q392" s="357">
        <f t="shared" ca="1" si="193"/>
        <v>641.35000000000537</v>
      </c>
      <c r="R392" s="359">
        <f t="shared" ca="1" si="194"/>
        <v>0.32127290551543275</v>
      </c>
      <c r="S392" s="360">
        <f t="shared" ca="1" si="195"/>
        <v>10.79602163644914</v>
      </c>
      <c r="T392" s="357">
        <f t="shared" ca="1" si="175"/>
        <v>105.90897225356608</v>
      </c>
      <c r="U392" s="364">
        <f t="shared" ca="1" si="176"/>
        <v>0</v>
      </c>
      <c r="V392" s="359">
        <f t="shared" ca="1" si="177"/>
        <v>1.1654028848406002</v>
      </c>
      <c r="W392" s="357">
        <f t="shared" ca="1" si="178"/>
        <v>148.45437992649394</v>
      </c>
      <c r="X392" s="343"/>
      <c r="Y392" s="367" t="str">
        <f t="shared" ca="1" si="196"/>
        <v/>
      </c>
      <c r="Z392" s="368" t="str">
        <f t="shared" ca="1" si="197"/>
        <v/>
      </c>
      <c r="AA392" s="369" t="str">
        <f t="shared" ca="1" si="198"/>
        <v/>
      </c>
      <c r="AB392" s="344"/>
      <c r="AC392" s="363" t="e">
        <f t="shared" ca="1" si="199"/>
        <v>#N/A</v>
      </c>
      <c r="AD392" s="376" t="e">
        <f t="shared" ca="1" si="200"/>
        <v>#N/A</v>
      </c>
      <c r="AE392" s="377">
        <f t="shared" ca="1" si="179"/>
        <v>498.63657325174296</v>
      </c>
      <c r="AF392" s="344"/>
      <c r="AG392" s="359">
        <f t="shared" ca="1" si="201"/>
        <v>36.169249261764207</v>
      </c>
      <c r="AH392" s="357">
        <f t="shared" ca="1" si="202"/>
        <v>45.694240840968099</v>
      </c>
    </row>
    <row r="393" spans="1:34" x14ac:dyDescent="0.25">
      <c r="A393" s="402">
        <f t="shared" ca="1" si="180"/>
        <v>0.01</v>
      </c>
      <c r="B393" s="357">
        <f t="shared" ca="1" si="181"/>
        <v>3.889999999999961</v>
      </c>
      <c r="C393" s="342"/>
      <c r="D393" s="359">
        <f t="shared" ca="1" si="182"/>
        <v>10.902083271600354</v>
      </c>
      <c r="E393" s="360">
        <f t="shared" ca="1" si="183"/>
        <v>34.406820526601209</v>
      </c>
      <c r="F393" s="357">
        <f t="shared" ca="1" si="184"/>
        <v>36.092723898462616</v>
      </c>
      <c r="G393" s="359">
        <f t="shared" ca="1" si="185"/>
        <v>56.650260828202015</v>
      </c>
      <c r="H393" s="360">
        <f t="shared" ca="1" si="186"/>
        <v>229.66481351130486</v>
      </c>
      <c r="I393" s="357">
        <f t="shared" ca="1" si="187"/>
        <v>236.54846991068396</v>
      </c>
      <c r="J393" s="359">
        <f t="shared" ca="1" si="188"/>
        <v>114.64276981479559</v>
      </c>
      <c r="K393" s="360">
        <f t="shared" ca="1" si="189"/>
        <v>500.93150104582969</v>
      </c>
      <c r="L393" s="357">
        <f t="shared" ca="1" si="174"/>
        <v>513.88260664361496</v>
      </c>
      <c r="M393" s="359">
        <f t="shared" ca="1" si="190"/>
        <v>1.3289589845247574</v>
      </c>
      <c r="N393" s="357">
        <f t="shared" ca="1" si="191"/>
        <v>76.143740959260285</v>
      </c>
      <c r="O393" s="343"/>
      <c r="P393" s="363">
        <f t="shared" ca="1" si="192"/>
        <v>13</v>
      </c>
      <c r="Q393" s="357">
        <f t="shared" ca="1" si="193"/>
        <v>639.97000000000537</v>
      </c>
      <c r="R393" s="359">
        <f t="shared" ca="1" si="194"/>
        <v>0.32058161899541826</v>
      </c>
      <c r="S393" s="360">
        <f t="shared" ca="1" si="195"/>
        <v>10.792815820259186</v>
      </c>
      <c r="T393" s="357">
        <f t="shared" ca="1" si="175"/>
        <v>105.87752319674262</v>
      </c>
      <c r="U393" s="364">
        <f t="shared" ca="1" si="176"/>
        <v>0</v>
      </c>
      <c r="V393" s="359">
        <f t="shared" ca="1" si="177"/>
        <v>1.1651352969010371</v>
      </c>
      <c r="W393" s="357">
        <f t="shared" ca="1" si="178"/>
        <v>148.87329071756173</v>
      </c>
      <c r="X393" s="343"/>
      <c r="Y393" s="367" t="str">
        <f t="shared" ca="1" si="196"/>
        <v/>
      </c>
      <c r="Z393" s="368" t="str">
        <f t="shared" ca="1" si="197"/>
        <v/>
      </c>
      <c r="AA393" s="369" t="str">
        <f t="shared" ca="1" si="198"/>
        <v/>
      </c>
      <c r="AB393" s="344"/>
      <c r="AC393" s="363" t="e">
        <f t="shared" ca="1" si="199"/>
        <v>#N/A</v>
      </c>
      <c r="AD393" s="376" t="e">
        <f t="shared" ca="1" si="200"/>
        <v>#N/A</v>
      </c>
      <c r="AE393" s="377">
        <f t="shared" ca="1" si="179"/>
        <v>500.93150104582969</v>
      </c>
      <c r="AF393" s="344"/>
      <c r="AG393" s="359">
        <f t="shared" ca="1" si="201"/>
        <v>36.016241301662347</v>
      </c>
      <c r="AH393" s="357">
        <f t="shared" ca="1" si="202"/>
        <v>45.540999518484121</v>
      </c>
    </row>
    <row r="394" spans="1:34" x14ac:dyDescent="0.25">
      <c r="A394" s="402">
        <f t="shared" ca="1" si="180"/>
        <v>0.01</v>
      </c>
      <c r="B394" s="357">
        <f t="shared" ca="1" si="181"/>
        <v>3.8999999999999608</v>
      </c>
      <c r="C394" s="342"/>
      <c r="D394" s="359">
        <f t="shared" ca="1" si="182"/>
        <v>10.869777833763886</v>
      </c>
      <c r="E394" s="360">
        <f t="shared" ca="1" si="183"/>
        <v>34.256972730651917</v>
      </c>
      <c r="F394" s="357">
        <f t="shared" ca="1" si="184"/>
        <v>35.940120350716882</v>
      </c>
      <c r="G394" s="359">
        <f t="shared" ca="1" si="185"/>
        <v>56.75895860653965</v>
      </c>
      <c r="H394" s="360">
        <f t="shared" ca="1" si="186"/>
        <v>230.00738323861137</v>
      </c>
      <c r="I394" s="357">
        <f t="shared" ca="1" si="187"/>
        <v>236.90710357938261</v>
      </c>
      <c r="J394" s="359">
        <f t="shared" ca="1" si="188"/>
        <v>115.20981591196929</v>
      </c>
      <c r="K394" s="360">
        <f t="shared" ca="1" si="189"/>
        <v>503.22986202957929</v>
      </c>
      <c r="L394" s="357">
        <f t="shared" ca="1" si="174"/>
        <v>516.24954791338973</v>
      </c>
      <c r="M394" s="359">
        <f t="shared" ca="1" si="190"/>
        <v>1.3288598162642153</v>
      </c>
      <c r="N394" s="357">
        <f t="shared" ca="1" si="191"/>
        <v>76.138059036469571</v>
      </c>
      <c r="O394" s="343"/>
      <c r="P394" s="363">
        <f t="shared" ca="1" si="192"/>
        <v>13</v>
      </c>
      <c r="Q394" s="357">
        <f t="shared" ca="1" si="193"/>
        <v>638.59000000000538</v>
      </c>
      <c r="R394" s="359">
        <f t="shared" ca="1" si="194"/>
        <v>0.31989033247540377</v>
      </c>
      <c r="S394" s="360">
        <f t="shared" ca="1" si="195"/>
        <v>10.789616916934431</v>
      </c>
      <c r="T394" s="357">
        <f t="shared" ca="1" si="175"/>
        <v>105.84614195512677</v>
      </c>
      <c r="U394" s="364">
        <f t="shared" ca="1" si="176"/>
        <v>0</v>
      </c>
      <c r="V394" s="359">
        <f t="shared" ca="1" si="177"/>
        <v>1.164867368689275</v>
      </c>
      <c r="W394" s="357">
        <f t="shared" ca="1" si="178"/>
        <v>149.29071171662042</v>
      </c>
      <c r="X394" s="343"/>
      <c r="Y394" s="367" t="str">
        <f t="shared" ca="1" si="196"/>
        <v/>
      </c>
      <c r="Z394" s="368" t="str">
        <f t="shared" ca="1" si="197"/>
        <v/>
      </c>
      <c r="AA394" s="369" t="str">
        <f t="shared" ca="1" si="198"/>
        <v/>
      </c>
      <c r="AB394" s="344"/>
      <c r="AC394" s="363" t="e">
        <f t="shared" ca="1" si="199"/>
        <v>#N/A</v>
      </c>
      <c r="AD394" s="376" t="e">
        <f t="shared" ca="1" si="200"/>
        <v>#N/A</v>
      </c>
      <c r="AE394" s="377">
        <f t="shared" ca="1" si="179"/>
        <v>503.22986202957929</v>
      </c>
      <c r="AF394" s="344"/>
      <c r="AG394" s="359">
        <f t="shared" ca="1" si="201"/>
        <v>35.863250378569454</v>
      </c>
      <c r="AH394" s="357">
        <f t="shared" ca="1" si="202"/>
        <v>45.387775400424779</v>
      </c>
    </row>
    <row r="395" spans="1:34" x14ac:dyDescent="0.25">
      <c r="A395" s="402">
        <f t="shared" ca="1" si="180"/>
        <v>0.01</v>
      </c>
      <c r="B395" s="357">
        <f t="shared" ca="1" si="181"/>
        <v>3.9099999999999606</v>
      </c>
      <c r="C395" s="342"/>
      <c r="D395" s="359">
        <f t="shared" ca="1" si="182"/>
        <v>10.837442274085376</v>
      </c>
      <c r="E395" s="360">
        <f t="shared" ca="1" si="183"/>
        <v>34.107150695831855</v>
      </c>
      <c r="F395" s="357">
        <f t="shared" ca="1" si="184"/>
        <v>35.787538105216406</v>
      </c>
      <c r="G395" s="359">
        <f t="shared" ca="1" si="185"/>
        <v>56.867333029280502</v>
      </c>
      <c r="H395" s="360">
        <f t="shared" ca="1" si="186"/>
        <v>230.34845474556968</v>
      </c>
      <c r="I395" s="357">
        <f t="shared" ca="1" si="187"/>
        <v>237.26420751882247</v>
      </c>
      <c r="J395" s="359">
        <f t="shared" ca="1" si="188"/>
        <v>115.77794737014838</v>
      </c>
      <c r="K395" s="360">
        <f t="shared" ca="1" si="189"/>
        <v>505.53164121950022</v>
      </c>
      <c r="L395" s="357">
        <f t="shared" ca="1" si="174"/>
        <v>518.62006649504633</v>
      </c>
      <c r="M395" s="359">
        <f t="shared" ca="1" si="190"/>
        <v>1.3287607574520663</v>
      </c>
      <c r="N395" s="357">
        <f t="shared" ca="1" si="191"/>
        <v>76.132383384609852</v>
      </c>
      <c r="O395" s="343"/>
      <c r="P395" s="363">
        <f t="shared" ca="1" si="192"/>
        <v>13</v>
      </c>
      <c r="Q395" s="357">
        <f t="shared" ca="1" si="193"/>
        <v>637.21000000000549</v>
      </c>
      <c r="R395" s="359">
        <f t="shared" ca="1" si="194"/>
        <v>0.31919904595538934</v>
      </c>
      <c r="S395" s="360">
        <f t="shared" ca="1" si="195"/>
        <v>10.786424926474877</v>
      </c>
      <c r="T395" s="357">
        <f t="shared" ca="1" si="175"/>
        <v>105.81482852871855</v>
      </c>
      <c r="U395" s="364">
        <f t="shared" ca="1" si="176"/>
        <v>0</v>
      </c>
      <c r="V395" s="359">
        <f t="shared" ca="1" si="177"/>
        <v>1.1645991022003996</v>
      </c>
      <c r="W395" s="357">
        <f t="shared" ca="1" si="178"/>
        <v>149.70663511204143</v>
      </c>
      <c r="X395" s="343"/>
      <c r="Y395" s="367" t="str">
        <f t="shared" ca="1" si="196"/>
        <v/>
      </c>
      <c r="Z395" s="368" t="str">
        <f t="shared" ca="1" si="197"/>
        <v/>
      </c>
      <c r="AA395" s="369" t="str">
        <f t="shared" ca="1" si="198"/>
        <v/>
      </c>
      <c r="AB395" s="344"/>
      <c r="AC395" s="363" t="e">
        <f t="shared" ca="1" si="199"/>
        <v>#N/A</v>
      </c>
      <c r="AD395" s="376" t="e">
        <f t="shared" ca="1" si="200"/>
        <v>#N/A</v>
      </c>
      <c r="AE395" s="377">
        <f t="shared" ca="1" si="179"/>
        <v>505.53164121950022</v>
      </c>
      <c r="AF395" s="344"/>
      <c r="AG395" s="359">
        <f t="shared" ca="1" si="201"/>
        <v>35.710277534477001</v>
      </c>
      <c r="AH395" s="357">
        <f t="shared" ca="1" si="202"/>
        <v>45.23456952690649</v>
      </c>
    </row>
    <row r="396" spans="1:34" x14ac:dyDescent="0.25">
      <c r="A396" s="402">
        <f t="shared" ca="1" si="180"/>
        <v>0.01</v>
      </c>
      <c r="B396" s="357">
        <f t="shared" ca="1" si="181"/>
        <v>3.9199999999999604</v>
      </c>
      <c r="C396" s="342"/>
      <c r="D396" s="359">
        <f t="shared" ca="1" si="182"/>
        <v>10.805076937193054</v>
      </c>
      <c r="E396" s="360">
        <f t="shared" ca="1" si="183"/>
        <v>33.957355409614195</v>
      </c>
      <c r="F396" s="357">
        <f t="shared" ca="1" si="184"/>
        <v>35.634978238151284</v>
      </c>
      <c r="G396" s="359">
        <f t="shared" ca="1" si="185"/>
        <v>56.97538379865243</v>
      </c>
      <c r="H396" s="360">
        <f t="shared" ca="1" si="186"/>
        <v>230.68802829966583</v>
      </c>
      <c r="I396" s="357">
        <f t="shared" ca="1" si="187"/>
        <v>237.61978192017426</v>
      </c>
      <c r="J396" s="359">
        <f t="shared" ca="1" si="188"/>
        <v>116.34716095428804</v>
      </c>
      <c r="K396" s="360">
        <f t="shared" ca="1" si="189"/>
        <v>507.83682363472639</v>
      </c>
      <c r="L396" s="357">
        <f t="shared" ca="1" si="174"/>
        <v>520.99414708951497</v>
      </c>
      <c r="M396" s="359">
        <f t="shared" ca="1" si="190"/>
        <v>1.3286618071672569</v>
      </c>
      <c r="N396" s="357">
        <f t="shared" ca="1" si="191"/>
        <v>76.126713950908652</v>
      </c>
      <c r="O396" s="343"/>
      <c r="P396" s="363">
        <f t="shared" ca="1" si="192"/>
        <v>13</v>
      </c>
      <c r="Q396" s="357">
        <f t="shared" ca="1" si="193"/>
        <v>635.8300000000055</v>
      </c>
      <c r="R396" s="359">
        <f t="shared" ca="1" si="194"/>
        <v>0.31850775943537485</v>
      </c>
      <c r="S396" s="360">
        <f t="shared" ca="1" si="195"/>
        <v>10.783239848880523</v>
      </c>
      <c r="T396" s="357">
        <f t="shared" ca="1" si="175"/>
        <v>105.78358291751793</v>
      </c>
      <c r="U396" s="364">
        <f t="shared" ca="1" si="176"/>
        <v>0</v>
      </c>
      <c r="V396" s="359">
        <f t="shared" ca="1" si="177"/>
        <v>1.1643304994278494</v>
      </c>
      <c r="W396" s="357">
        <f t="shared" ca="1" si="178"/>
        <v>150.12105315690806</v>
      </c>
      <c r="X396" s="343"/>
      <c r="Y396" s="367" t="str">
        <f t="shared" ca="1" si="196"/>
        <v/>
      </c>
      <c r="Z396" s="368" t="str">
        <f t="shared" ca="1" si="197"/>
        <v/>
      </c>
      <c r="AA396" s="369" t="str">
        <f t="shared" ca="1" si="198"/>
        <v/>
      </c>
      <c r="AB396" s="344"/>
      <c r="AC396" s="363" t="e">
        <f t="shared" ca="1" si="199"/>
        <v>#N/A</v>
      </c>
      <c r="AD396" s="376" t="e">
        <f t="shared" ca="1" si="200"/>
        <v>#N/A</v>
      </c>
      <c r="AE396" s="377">
        <f t="shared" ca="1" si="179"/>
        <v>507.83682363472639</v>
      </c>
      <c r="AF396" s="344"/>
      <c r="AG396" s="359">
        <f t="shared" ca="1" si="201"/>
        <v>35.557323806524082</v>
      </c>
      <c r="AH396" s="357">
        <f t="shared" ca="1" si="202"/>
        <v>45.081382933203663</v>
      </c>
    </row>
    <row r="397" spans="1:34" x14ac:dyDescent="0.25">
      <c r="A397" s="402">
        <f t="shared" ca="1" si="180"/>
        <v>0.01</v>
      </c>
      <c r="B397" s="357">
        <f t="shared" ca="1" si="181"/>
        <v>3.9299999999999602</v>
      </c>
      <c r="C397" s="342"/>
      <c r="D397" s="359">
        <f t="shared" ca="1" si="182"/>
        <v>10.772682166116095</v>
      </c>
      <c r="E397" s="360">
        <f t="shared" ca="1" si="183"/>
        <v>33.80758785482849</v>
      </c>
      <c r="F397" s="357">
        <f t="shared" ca="1" si="184"/>
        <v>35.482441821471397</v>
      </c>
      <c r="G397" s="359">
        <f t="shared" ca="1" si="185"/>
        <v>57.08311062031359</v>
      </c>
      <c r="H397" s="360">
        <f t="shared" ca="1" si="186"/>
        <v>231.02610417821413</v>
      </c>
      <c r="I397" s="357">
        <f t="shared" ca="1" si="187"/>
        <v>237.97382698493126</v>
      </c>
      <c r="J397" s="359">
        <f t="shared" ca="1" si="188"/>
        <v>116.91745342638288</v>
      </c>
      <c r="K397" s="360">
        <f t="shared" ca="1" si="189"/>
        <v>510.14539429711579</v>
      </c>
      <c r="L397" s="357">
        <f t="shared" ca="1" si="174"/>
        <v>523.37177439968059</v>
      </c>
      <c r="M397" s="359">
        <f t="shared" ca="1" si="190"/>
        <v>1.3285629644946664</v>
      </c>
      <c r="N397" s="357">
        <f t="shared" ca="1" si="191"/>
        <v>76.121050682933429</v>
      </c>
      <c r="O397" s="343"/>
      <c r="P397" s="363">
        <f t="shared" ca="1" si="192"/>
        <v>13</v>
      </c>
      <c r="Q397" s="357">
        <f t="shared" ca="1" si="193"/>
        <v>634.4500000000055</v>
      </c>
      <c r="R397" s="359">
        <f t="shared" ca="1" si="194"/>
        <v>0.31781647291536036</v>
      </c>
      <c r="S397" s="360">
        <f t="shared" ca="1" si="195"/>
        <v>10.78006168415137</v>
      </c>
      <c r="T397" s="357">
        <f t="shared" ca="1" si="175"/>
        <v>105.75240512152494</v>
      </c>
      <c r="U397" s="364">
        <f t="shared" ca="1" si="176"/>
        <v>0</v>
      </c>
      <c r="V397" s="359">
        <f t="shared" ca="1" si="177"/>
        <v>1.1640615623634019</v>
      </c>
      <c r="W397" s="357">
        <f t="shared" ca="1" si="178"/>
        <v>150.53395816897526</v>
      </c>
      <c r="X397" s="343"/>
      <c r="Y397" s="367" t="str">
        <f t="shared" ca="1" si="196"/>
        <v/>
      </c>
      <c r="Z397" s="368" t="str">
        <f t="shared" ca="1" si="197"/>
        <v/>
      </c>
      <c r="AA397" s="369" t="str">
        <f t="shared" ca="1" si="198"/>
        <v/>
      </c>
      <c r="AB397" s="344"/>
      <c r="AC397" s="363" t="e">
        <f t="shared" ca="1" si="199"/>
        <v>#N/A</v>
      </c>
      <c r="AD397" s="376" t="e">
        <f t="shared" ca="1" si="200"/>
        <v>#N/A</v>
      </c>
      <c r="AE397" s="377">
        <f t="shared" ca="1" si="179"/>
        <v>510.14539429711579</v>
      </c>
      <c r="AF397" s="344"/>
      <c r="AG397" s="359">
        <f t="shared" ca="1" si="201"/>
        <v>35.404390226987331</v>
      </c>
      <c r="AH397" s="357">
        <f t="shared" ca="1" si="202"/>
        <v>44.928216649738481</v>
      </c>
    </row>
    <row r="398" spans="1:34" x14ac:dyDescent="0.25">
      <c r="A398" s="402">
        <f t="shared" ca="1" si="180"/>
        <v>0.01</v>
      </c>
      <c r="B398" s="357">
        <f t="shared" ca="1" si="181"/>
        <v>3.93999999999996</v>
      </c>
      <c r="C398" s="342"/>
      <c r="D398" s="359">
        <f t="shared" ca="1" si="182"/>
        <v>10.74025830228643</v>
      </c>
      <c r="E398" s="360">
        <f t="shared" ca="1" si="183"/>
        <v>33.657849009650249</v>
      </c>
      <c r="F398" s="357">
        <f t="shared" ca="1" si="184"/>
        <v>35.329929922888994</v>
      </c>
      <c r="G398" s="359">
        <f t="shared" ca="1" si="185"/>
        <v>57.190513203336458</v>
      </c>
      <c r="H398" s="360">
        <f t="shared" ca="1" si="186"/>
        <v>231.36268266831064</v>
      </c>
      <c r="I398" s="357">
        <f t="shared" ca="1" si="187"/>
        <v>238.32634292486094</v>
      </c>
      <c r="J398" s="359">
        <f t="shared" ca="1" si="188"/>
        <v>117.48882154550112</v>
      </c>
      <c r="K398" s="360">
        <f t="shared" ca="1" si="189"/>
        <v>512.45733823134844</v>
      </c>
      <c r="L398" s="357">
        <f t="shared" ca="1" si="174"/>
        <v>525.75293313048599</v>
      </c>
      <c r="M398" s="359">
        <f t="shared" ca="1" si="190"/>
        <v>1.3284642285250434</v>
      </c>
      <c r="N398" s="357">
        <f t="shared" ca="1" si="191"/>
        <v>76.115393528587902</v>
      </c>
      <c r="O398" s="343"/>
      <c r="P398" s="363">
        <f t="shared" ca="1" si="192"/>
        <v>13</v>
      </c>
      <c r="Q398" s="357">
        <f t="shared" ca="1" si="193"/>
        <v>633.07000000000551</v>
      </c>
      <c r="R398" s="359">
        <f t="shared" ca="1" si="194"/>
        <v>0.31712518639534587</v>
      </c>
      <c r="S398" s="360">
        <f t="shared" ca="1" si="195"/>
        <v>10.776890432287416</v>
      </c>
      <c r="T398" s="357">
        <f t="shared" ca="1" si="175"/>
        <v>105.72129514073956</v>
      </c>
      <c r="U398" s="364">
        <f t="shared" ca="1" si="176"/>
        <v>0</v>
      </c>
      <c r="V398" s="359">
        <f t="shared" ca="1" si="177"/>
        <v>1.1637922929971558</v>
      </c>
      <c r="W398" s="357">
        <f t="shared" ca="1" si="178"/>
        <v>150.94534253062687</v>
      </c>
      <c r="X398" s="343"/>
      <c r="Y398" s="367" t="str">
        <f t="shared" ca="1" si="196"/>
        <v/>
      </c>
      <c r="Z398" s="368" t="str">
        <f t="shared" ca="1" si="197"/>
        <v/>
      </c>
      <c r="AA398" s="369" t="str">
        <f t="shared" ca="1" si="198"/>
        <v/>
      </c>
      <c r="AB398" s="344"/>
      <c r="AC398" s="363" t="e">
        <f t="shared" ca="1" si="199"/>
        <v>#N/A</v>
      </c>
      <c r="AD398" s="376" t="e">
        <f t="shared" ca="1" si="200"/>
        <v>#N/A</v>
      </c>
      <c r="AE398" s="377">
        <f t="shared" ca="1" si="179"/>
        <v>512.45733823134844</v>
      </c>
      <c r="AF398" s="344"/>
      <c r="AG398" s="359">
        <f t="shared" ca="1" si="201"/>
        <v>35.251477823270932</v>
      </c>
      <c r="AH398" s="357">
        <f t="shared" ca="1" si="202"/>
        <v>44.775071702070839</v>
      </c>
    </row>
    <row r="399" spans="1:34" x14ac:dyDescent="0.25">
      <c r="A399" s="402">
        <f t="shared" ca="1" si="180"/>
        <v>0.01</v>
      </c>
      <c r="B399" s="357">
        <f t="shared" ca="1" si="181"/>
        <v>3.9499999999999598</v>
      </c>
      <c r="C399" s="342"/>
      <c r="D399" s="359">
        <f t="shared" ca="1" si="182"/>
        <v>10.707805685540404</v>
      </c>
      <c r="E399" s="360">
        <f t="shared" ca="1" si="183"/>
        <v>33.508139847590805</v>
      </c>
      <c r="F399" s="357">
        <f t="shared" ca="1" si="184"/>
        <v>35.177443605881798</v>
      </c>
      <c r="G399" s="359">
        <f t="shared" ca="1" si="185"/>
        <v>57.297591260191865</v>
      </c>
      <c r="H399" s="360">
        <f t="shared" ca="1" si="186"/>
        <v>231.69776406678656</v>
      </c>
      <c r="I399" s="357">
        <f t="shared" ca="1" si="187"/>
        <v>238.67732996195576</v>
      </c>
      <c r="J399" s="359">
        <f t="shared" ca="1" si="188"/>
        <v>118.06126206781876</v>
      </c>
      <c r="K399" s="360">
        <f t="shared" ca="1" si="189"/>
        <v>514.77264046502398</v>
      </c>
      <c r="L399" s="357">
        <f t="shared" ca="1" si="174"/>
        <v>528.13760798903445</v>
      </c>
      <c r="M399" s="359">
        <f t="shared" ca="1" si="190"/>
        <v>1.3283655983549425</v>
      </c>
      <c r="N399" s="357">
        <f t="shared" ca="1" si="191"/>
        <v>76.109742436108462</v>
      </c>
      <c r="O399" s="343"/>
      <c r="P399" s="363">
        <f t="shared" ca="1" si="192"/>
        <v>13</v>
      </c>
      <c r="Q399" s="357">
        <f t="shared" ca="1" si="193"/>
        <v>631.69000000000551</v>
      </c>
      <c r="R399" s="359">
        <f t="shared" ca="1" si="194"/>
        <v>0.31643389987533138</v>
      </c>
      <c r="S399" s="360">
        <f t="shared" ca="1" si="195"/>
        <v>10.773726093288664</v>
      </c>
      <c r="T399" s="357">
        <f t="shared" ca="1" si="175"/>
        <v>105.6902529751618</v>
      </c>
      <c r="U399" s="364">
        <f t="shared" ca="1" si="176"/>
        <v>0</v>
      </c>
      <c r="V399" s="359">
        <f t="shared" ca="1" si="177"/>
        <v>1.1635226933175158</v>
      </c>
      <c r="W399" s="357">
        <f t="shared" ca="1" si="178"/>
        <v>151.35519868882977</v>
      </c>
      <c r="X399" s="343"/>
      <c r="Y399" s="367" t="str">
        <f t="shared" ca="1" si="196"/>
        <v/>
      </c>
      <c r="Z399" s="368" t="str">
        <f t="shared" ca="1" si="197"/>
        <v/>
      </c>
      <c r="AA399" s="369" t="str">
        <f t="shared" ca="1" si="198"/>
        <v/>
      </c>
      <c r="AB399" s="344"/>
      <c r="AC399" s="363" t="e">
        <f t="shared" ca="1" si="199"/>
        <v>#N/A</v>
      </c>
      <c r="AD399" s="376" t="e">
        <f t="shared" ca="1" si="200"/>
        <v>#N/A</v>
      </c>
      <c r="AE399" s="377">
        <f t="shared" ca="1" si="179"/>
        <v>514.77264046502398</v>
      </c>
      <c r="AF399" s="344"/>
      <c r="AG399" s="359">
        <f t="shared" ca="1" si="201"/>
        <v>35.098587617896946</v>
      </c>
      <c r="AH399" s="357">
        <f t="shared" ca="1" si="202"/>
        <v>44.621949110888529</v>
      </c>
    </row>
    <row r="400" spans="1:34" x14ac:dyDescent="0.25">
      <c r="A400" s="402">
        <f t="shared" ca="1" si="180"/>
        <v>0.01</v>
      </c>
      <c r="B400" s="357">
        <f t="shared" ca="1" si="181"/>
        <v>3.9599999999999596</v>
      </c>
      <c r="C400" s="342"/>
      <c r="D400" s="359">
        <f t="shared" ca="1" si="182"/>
        <v>10.675324654120502</v>
      </c>
      <c r="E400" s="360">
        <f t="shared" ca="1" si="183"/>
        <v>33.358461337487618</v>
      </c>
      <c r="F400" s="357">
        <f t="shared" ca="1" si="184"/>
        <v>35.024983929696944</v>
      </c>
      <c r="G400" s="359">
        <f t="shared" ca="1" si="185"/>
        <v>57.404344506733068</v>
      </c>
      <c r="H400" s="360">
        <f t="shared" ca="1" si="186"/>
        <v>232.03134868016144</v>
      </c>
      <c r="I400" s="357">
        <f t="shared" ca="1" si="187"/>
        <v>239.02678832838455</v>
      </c>
      <c r="J400" s="359">
        <f t="shared" ca="1" si="188"/>
        <v>118.63477174665339</v>
      </c>
      <c r="K400" s="360">
        <f t="shared" ca="1" si="189"/>
        <v>517.09128602875876</v>
      </c>
      <c r="L400" s="357">
        <f t="shared" ca="1" si="174"/>
        <v>530.52578368469153</v>
      </c>
      <c r="M400" s="359">
        <f t="shared" ca="1" si="190"/>
        <v>1.3282670730866615</v>
      </c>
      <c r="N400" s="357">
        <f t="shared" ca="1" si="191"/>
        <v>76.104097354060556</v>
      </c>
      <c r="O400" s="343"/>
      <c r="P400" s="363">
        <f t="shared" ca="1" si="192"/>
        <v>13</v>
      </c>
      <c r="Q400" s="357">
        <f t="shared" ca="1" si="193"/>
        <v>630.31000000000563</v>
      </c>
      <c r="R400" s="359">
        <f t="shared" ca="1" si="194"/>
        <v>0.31574261335531695</v>
      </c>
      <c r="S400" s="360">
        <f t="shared" ca="1" si="195"/>
        <v>10.770568667155111</v>
      </c>
      <c r="T400" s="357">
        <f t="shared" ca="1" si="175"/>
        <v>105.65927862479164</v>
      </c>
      <c r="U400" s="364">
        <f t="shared" ca="1" si="176"/>
        <v>0</v>
      </c>
      <c r="V400" s="359">
        <f t="shared" ca="1" si="177"/>
        <v>1.1632527653111755</v>
      </c>
      <c r="W400" s="357">
        <f t="shared" ca="1" si="178"/>
        <v>151.76351915508647</v>
      </c>
      <c r="X400" s="343"/>
      <c r="Y400" s="367" t="str">
        <f t="shared" ca="1" si="196"/>
        <v/>
      </c>
      <c r="Z400" s="368" t="str">
        <f t="shared" ca="1" si="197"/>
        <v/>
      </c>
      <c r="AA400" s="369" t="str">
        <f t="shared" ca="1" si="198"/>
        <v/>
      </c>
      <c r="AB400" s="344"/>
      <c r="AC400" s="363" t="e">
        <f t="shared" ca="1" si="199"/>
        <v>#N/A</v>
      </c>
      <c r="AD400" s="376" t="e">
        <f t="shared" ca="1" si="200"/>
        <v>#N/A</v>
      </c>
      <c r="AE400" s="377">
        <f t="shared" ca="1" si="179"/>
        <v>517.09128602875876</v>
      </c>
      <c r="AF400" s="344"/>
      <c r="AG400" s="359">
        <f t="shared" ca="1" si="201"/>
        <v>34.945720628496041</v>
      </c>
      <c r="AH400" s="357">
        <f t="shared" ca="1" si="202"/>
        <v>44.468849891997841</v>
      </c>
    </row>
    <row r="401" spans="1:34" x14ac:dyDescent="0.25">
      <c r="A401" s="402">
        <f t="shared" ca="1" si="180"/>
        <v>0.01</v>
      </c>
      <c r="B401" s="357">
        <f t="shared" ca="1" si="181"/>
        <v>3.9699999999999593</v>
      </c>
      <c r="C401" s="342"/>
      <c r="D401" s="359">
        <f t="shared" ca="1" si="182"/>
        <v>10.64281554467699</v>
      </c>
      <c r="E401" s="360">
        <f t="shared" ca="1" si="183"/>
        <v>33.208814443494603</v>
      </c>
      <c r="F401" s="357">
        <f t="shared" ca="1" si="184"/>
        <v>34.872551949355156</v>
      </c>
      <c r="G401" s="359">
        <f t="shared" ca="1" si="185"/>
        <v>57.510772662179839</v>
      </c>
      <c r="H401" s="360">
        <f t="shared" ca="1" si="186"/>
        <v>232.36343682459639</v>
      </c>
      <c r="I401" s="357">
        <f t="shared" ca="1" si="187"/>
        <v>239.37471826644335</v>
      </c>
      <c r="J401" s="359">
        <f t="shared" ca="1" si="188"/>
        <v>119.20934733249796</v>
      </c>
      <c r="K401" s="360">
        <f t="shared" ca="1" si="189"/>
        <v>519.41325995628256</v>
      </c>
      <c r="L401" s="357">
        <f t="shared" ca="1" si="174"/>
        <v>532.9174449291869</v>
      </c>
      <c r="M401" s="359">
        <f t="shared" ca="1" si="190"/>
        <v>1.328168651828179</v>
      </c>
      <c r="N401" s="357">
        <f t="shared" ca="1" si="191"/>
        <v>76.098458231335144</v>
      </c>
      <c r="O401" s="343"/>
      <c r="P401" s="363">
        <f t="shared" ca="1" si="192"/>
        <v>13</v>
      </c>
      <c r="Q401" s="357">
        <f t="shared" ca="1" si="193"/>
        <v>628.93000000000563</v>
      </c>
      <c r="R401" s="359">
        <f t="shared" ca="1" si="194"/>
        <v>0.31505132683530246</v>
      </c>
      <c r="S401" s="360">
        <f t="shared" ca="1" si="195"/>
        <v>10.767418153886757</v>
      </c>
      <c r="T401" s="357">
        <f t="shared" ca="1" si="175"/>
        <v>105.6283720896291</v>
      </c>
      <c r="U401" s="364">
        <f t="shared" ca="1" si="176"/>
        <v>0</v>
      </c>
      <c r="V401" s="359">
        <f t="shared" ca="1" si="177"/>
        <v>1.1629825109631031</v>
      </c>
      <c r="W401" s="357">
        <f t="shared" ca="1" si="178"/>
        <v>152.17029650538475</v>
      </c>
      <c r="X401" s="343"/>
      <c r="Y401" s="367" t="str">
        <f t="shared" ca="1" si="196"/>
        <v/>
      </c>
      <c r="Z401" s="368" t="str">
        <f t="shared" ca="1" si="197"/>
        <v/>
      </c>
      <c r="AA401" s="369" t="str">
        <f t="shared" ca="1" si="198"/>
        <v/>
      </c>
      <c r="AB401" s="344"/>
      <c r="AC401" s="363" t="e">
        <f t="shared" ca="1" si="199"/>
        <v>#N/A</v>
      </c>
      <c r="AD401" s="376" t="e">
        <f t="shared" ca="1" si="200"/>
        <v>#N/A</v>
      </c>
      <c r="AE401" s="377">
        <f t="shared" ca="1" si="179"/>
        <v>519.41325995628256</v>
      </c>
      <c r="AF401" s="344"/>
      <c r="AG401" s="359">
        <f t="shared" ca="1" si="201"/>
        <v>34.792877867798175</v>
      </c>
      <c r="AH401" s="357">
        <f t="shared" ca="1" si="202"/>
        <v>44.31577505631418</v>
      </c>
    </row>
    <row r="402" spans="1:34" x14ac:dyDescent="0.25">
      <c r="A402" s="402">
        <f t="shared" ca="1" si="180"/>
        <v>0.01</v>
      </c>
      <c r="B402" s="357">
        <f t="shared" ca="1" si="181"/>
        <v>3.9799999999999591</v>
      </c>
      <c r="C402" s="342"/>
      <c r="D402" s="359">
        <f t="shared" ca="1" si="182"/>
        <v>10.610278692269636</v>
      </c>
      <c r="E402" s="360">
        <f t="shared" ca="1" si="183"/>
        <v>33.05920012507287</v>
      </c>
      <c r="F402" s="357">
        <f t="shared" ca="1" si="184"/>
        <v>34.720148715655711</v>
      </c>
      <c r="G402" s="359">
        <f t="shared" ca="1" si="185"/>
        <v>57.616875449102537</v>
      </c>
      <c r="H402" s="360">
        <f t="shared" ca="1" si="186"/>
        <v>232.69402882584711</v>
      </c>
      <c r="I402" s="357">
        <f t="shared" ca="1" si="187"/>
        <v>239.72112002850636</v>
      </c>
      <c r="J402" s="359">
        <f t="shared" ca="1" si="188"/>
        <v>119.78498557305437</v>
      </c>
      <c r="K402" s="360">
        <f t="shared" ca="1" si="189"/>
        <v>521.73854728453477</v>
      </c>
      <c r="L402" s="357">
        <f t="shared" ca="1" si="174"/>
        <v>535.31257643671472</v>
      </c>
      <c r="M402" s="359">
        <f t="shared" ca="1" si="190"/>
        <v>1.3280703336930937</v>
      </c>
      <c r="N402" s="357">
        <f t="shared" ca="1" si="191"/>
        <v>76.092825017145159</v>
      </c>
      <c r="O402" s="343"/>
      <c r="P402" s="363">
        <f t="shared" ca="1" si="192"/>
        <v>13</v>
      </c>
      <c r="Q402" s="357">
        <f t="shared" ca="1" si="193"/>
        <v>627.55000000000564</v>
      </c>
      <c r="R402" s="359">
        <f t="shared" ca="1" si="194"/>
        <v>0.31436004031528797</v>
      </c>
      <c r="S402" s="360">
        <f t="shared" ca="1" si="195"/>
        <v>10.764274553483604</v>
      </c>
      <c r="T402" s="357">
        <f t="shared" ca="1" si="175"/>
        <v>105.59753336967417</v>
      </c>
      <c r="U402" s="364">
        <f t="shared" ca="1" si="176"/>
        <v>0</v>
      </c>
      <c r="V402" s="359">
        <f t="shared" ca="1" si="177"/>
        <v>1.1627119322565267</v>
      </c>
      <c r="W402" s="357">
        <f t="shared" ca="1" si="178"/>
        <v>152.57552338014528</v>
      </c>
      <c r="X402" s="343"/>
      <c r="Y402" s="367" t="str">
        <f t="shared" ca="1" si="196"/>
        <v/>
      </c>
      <c r="Z402" s="368" t="str">
        <f t="shared" ca="1" si="197"/>
        <v/>
      </c>
      <c r="AA402" s="369" t="str">
        <f t="shared" ca="1" si="198"/>
        <v/>
      </c>
      <c r="AB402" s="344"/>
      <c r="AC402" s="363" t="e">
        <f t="shared" ca="1" si="199"/>
        <v>#N/A</v>
      </c>
      <c r="AD402" s="376" t="e">
        <f t="shared" ca="1" si="200"/>
        <v>#N/A</v>
      </c>
      <c r="AE402" s="377">
        <f t="shared" ca="1" si="179"/>
        <v>521.73854728453477</v>
      </c>
      <c r="AF402" s="344"/>
      <c r="AG402" s="359">
        <f t="shared" ca="1" si="201"/>
        <v>34.640060343623823</v>
      </c>
      <c r="AH402" s="357">
        <f t="shared" ca="1" si="202"/>
        <v>44.162725609853148</v>
      </c>
    </row>
    <row r="403" spans="1:34" x14ac:dyDescent="0.25">
      <c r="A403" s="402">
        <f t="shared" ca="1" si="180"/>
        <v>0.01</v>
      </c>
      <c r="B403" s="357">
        <f t="shared" ca="1" si="181"/>
        <v>3.9899999999999589</v>
      </c>
      <c r="C403" s="342"/>
      <c r="D403" s="359">
        <f t="shared" ca="1" si="182"/>
        <v>10.577714430369358</v>
      </c>
      <c r="E403" s="360">
        <f t="shared" ca="1" si="183"/>
        <v>32.909619336981692</v>
      </c>
      <c r="F403" s="357">
        <f t="shared" ca="1" si="184"/>
        <v>34.567775275181994</v>
      </c>
      <c r="G403" s="359">
        <f t="shared" ca="1" si="185"/>
        <v>57.722652593406231</v>
      </c>
      <c r="H403" s="360">
        <f t="shared" ca="1" si="186"/>
        <v>233.02312501921693</v>
      </c>
      <c r="I403" s="357">
        <f t="shared" ca="1" si="187"/>
        <v>240.06599387697682</v>
      </c>
      <c r="J403" s="359">
        <f t="shared" ca="1" si="188"/>
        <v>120.36168321326691</v>
      </c>
      <c r="K403" s="360">
        <f t="shared" ca="1" si="189"/>
        <v>524.06713305376013</v>
      </c>
      <c r="L403" s="357">
        <f t="shared" ca="1" si="174"/>
        <v>537.71116292403531</v>
      </c>
      <c r="M403" s="359">
        <f t="shared" ca="1" si="190"/>
        <v>1.3279721178005639</v>
      </c>
      <c r="N403" s="357">
        <f t="shared" ca="1" si="191"/>
        <v>76.087197661022088</v>
      </c>
      <c r="O403" s="343"/>
      <c r="P403" s="363">
        <f t="shared" ca="1" si="192"/>
        <v>13</v>
      </c>
      <c r="Q403" s="357">
        <f t="shared" ca="1" si="193"/>
        <v>626.17000000000564</v>
      </c>
      <c r="R403" s="359">
        <f t="shared" ca="1" si="194"/>
        <v>0.31366875379527348</v>
      </c>
      <c r="S403" s="360">
        <f t="shared" ca="1" si="195"/>
        <v>10.761137865945651</v>
      </c>
      <c r="T403" s="357">
        <f t="shared" ca="1" si="175"/>
        <v>105.56676246492684</v>
      </c>
      <c r="U403" s="364">
        <f t="shared" ca="1" si="176"/>
        <v>0</v>
      </c>
      <c r="V403" s="359">
        <f t="shared" ca="1" si="177"/>
        <v>1.162441031172915</v>
      </c>
      <c r="W403" s="357">
        <f t="shared" ca="1" si="178"/>
        <v>152.97919248416608</v>
      </c>
      <c r="X403" s="343"/>
      <c r="Y403" s="367" t="str">
        <f t="shared" ca="1" si="196"/>
        <v/>
      </c>
      <c r="Z403" s="368" t="str">
        <f t="shared" ca="1" si="197"/>
        <v/>
      </c>
      <c r="AA403" s="369" t="str">
        <f t="shared" ca="1" si="198"/>
        <v/>
      </c>
      <c r="AB403" s="344"/>
      <c r="AC403" s="363" t="e">
        <f t="shared" ca="1" si="199"/>
        <v>#N/A</v>
      </c>
      <c r="AD403" s="376" t="e">
        <f t="shared" ca="1" si="200"/>
        <v>#N/A</v>
      </c>
      <c r="AE403" s="377">
        <f t="shared" ca="1" si="179"/>
        <v>524.06713305376013</v>
      </c>
      <c r="AF403" s="344"/>
      <c r="AG403" s="359">
        <f t="shared" ca="1" si="201"/>
        <v>34.487269058875306</v>
      </c>
      <c r="AH403" s="357">
        <f t="shared" ca="1" si="202"/>
        <v>44.009702553721773</v>
      </c>
    </row>
    <row r="404" spans="1:34" x14ac:dyDescent="0.25">
      <c r="A404" s="402">
        <f t="shared" ca="1" si="180"/>
        <v>0.01</v>
      </c>
      <c r="B404" s="357">
        <f t="shared" ca="1" si="181"/>
        <v>3.9999999999999587</v>
      </c>
      <c r="C404" s="342"/>
      <c r="D404" s="359">
        <f t="shared" ca="1" si="182"/>
        <v>10.545123090859864</v>
      </c>
      <c r="E404" s="360">
        <f t="shared" ca="1" si="183"/>
        <v>32.760073029269734</v>
      </c>
      <c r="F404" s="357">
        <f t="shared" ca="1" si="184"/>
        <v>34.415432670307545</v>
      </c>
      <c r="G404" s="359">
        <f t="shared" ca="1" si="185"/>
        <v>57.82810382431483</v>
      </c>
      <c r="H404" s="360">
        <f t="shared" ca="1" si="186"/>
        <v>233.35072574950962</v>
      </c>
      <c r="I404" s="357">
        <f t="shared" ca="1" si="187"/>
        <v>240.40934008423756</v>
      </c>
      <c r="J404" s="359">
        <f t="shared" ca="1" si="188"/>
        <v>120.93943699535552</v>
      </c>
      <c r="K404" s="360">
        <f t="shared" ca="1" si="189"/>
        <v>526.39900230760372</v>
      </c>
      <c r="L404" s="357">
        <f t="shared" ca="1" si="174"/>
        <v>540.11318911057356</v>
      </c>
      <c r="M404" s="359">
        <f t="shared" ca="1" si="190"/>
        <v>1.3278740032752478</v>
      </c>
      <c r="N404" s="357">
        <f t="shared" ca="1" si="191"/>
        <v>76.081576112812556</v>
      </c>
      <c r="O404" s="343"/>
      <c r="P404" s="363">
        <f t="shared" ca="1" si="192"/>
        <v>13</v>
      </c>
      <c r="Q404" s="357">
        <f t="shared" ca="1" si="193"/>
        <v>624.79000000000565</v>
      </c>
      <c r="R404" s="359">
        <f t="shared" ca="1" si="194"/>
        <v>0.31297746727525899</v>
      </c>
      <c r="S404" s="360">
        <f t="shared" ca="1" si="195"/>
        <v>10.758008091272899</v>
      </c>
      <c r="T404" s="357">
        <f t="shared" ca="1" si="175"/>
        <v>105.53605937538714</v>
      </c>
      <c r="U404" s="364">
        <f t="shared" ca="1" si="176"/>
        <v>0</v>
      </c>
      <c r="V404" s="359">
        <f t="shared" ca="1" si="177"/>
        <v>1.1621698096919659</v>
      </c>
      <c r="W404" s="357">
        <f t="shared" ca="1" si="178"/>
        <v>153.38129658656558</v>
      </c>
      <c r="X404" s="343"/>
      <c r="Y404" s="367" t="str">
        <f t="shared" ca="1" si="196"/>
        <v/>
      </c>
      <c r="Z404" s="368" t="str">
        <f t="shared" ca="1" si="197"/>
        <v/>
      </c>
      <c r="AA404" s="369" t="str">
        <f t="shared" ca="1" si="198"/>
        <v/>
      </c>
      <c r="AB404" s="344"/>
      <c r="AC404" s="363">
        <f t="shared" ca="1" si="199"/>
        <v>3.9999999999999587</v>
      </c>
      <c r="AD404" s="376">
        <f t="shared" ca="1" si="200"/>
        <v>120.93943699535552</v>
      </c>
      <c r="AE404" s="377">
        <f t="shared" ca="1" si="179"/>
        <v>526.39900230760372</v>
      </c>
      <c r="AF404" s="344"/>
      <c r="AG404" s="359">
        <f t="shared" ca="1" si="201"/>
        <v>34.334505011528407</v>
      </c>
      <c r="AH404" s="357">
        <f t="shared" ca="1" si="202"/>
        <v>43.856706884110032</v>
      </c>
    </row>
    <row r="405" spans="1:34" x14ac:dyDescent="0.25">
      <c r="A405" s="402">
        <f t="shared" ca="1" si="180"/>
        <v>0.01</v>
      </c>
      <c r="B405" s="357">
        <f t="shared" ca="1" si="181"/>
        <v>4.0099999999999589</v>
      </c>
      <c r="C405" s="342"/>
      <c r="D405" s="359">
        <f t="shared" ca="1" si="182"/>
        <v>10.502438253043913</v>
      </c>
      <c r="E405" s="360">
        <f t="shared" ca="1" si="183"/>
        <v>32.5699403129789</v>
      </c>
      <c r="F405" s="357">
        <f t="shared" ca="1" si="184"/>
        <v>34.221370826575729</v>
      </c>
      <c r="G405" s="359">
        <f t="shared" ca="1" si="185"/>
        <v>57.933128206845268</v>
      </c>
      <c r="H405" s="360">
        <f t="shared" ca="1" si="186"/>
        <v>233.67642515263941</v>
      </c>
      <c r="I405" s="357">
        <f t="shared" ca="1" si="187"/>
        <v>240.75074042658281</v>
      </c>
      <c r="J405" s="359">
        <f t="shared" ca="1" si="188"/>
        <v>121.51824315551133</v>
      </c>
      <c r="K405" s="360">
        <f t="shared" ca="1" si="189"/>
        <v>528.73413806211443</v>
      </c>
      <c r="L405" s="357">
        <f t="shared" ca="1" si="174"/>
        <v>542.51863762629307</v>
      </c>
      <c r="M405" s="359">
        <f t="shared" ca="1" si="190"/>
        <v>1.327775989076863</v>
      </c>
      <c r="N405" s="357">
        <f t="shared" ca="1" si="191"/>
        <v>76.075960312912741</v>
      </c>
      <c r="O405" s="343"/>
      <c r="P405" s="363">
        <f t="shared" ca="1" si="192"/>
        <v>14</v>
      </c>
      <c r="Q405" s="357">
        <f t="shared" ca="1" si="193"/>
        <v>622.96000000000936</v>
      </c>
      <c r="R405" s="359">
        <f t="shared" ca="1" si="194"/>
        <v>0.31206076123785031</v>
      </c>
      <c r="S405" s="360">
        <f t="shared" ca="1" si="195"/>
        <v>10.75488748366052</v>
      </c>
      <c r="T405" s="357">
        <f t="shared" ca="1" si="175"/>
        <v>105.50544621470971</v>
      </c>
      <c r="U405" s="364">
        <f t="shared" ca="1" si="176"/>
        <v>0</v>
      </c>
      <c r="V405" s="359">
        <f t="shared" ca="1" si="177"/>
        <v>1.1618982700277465</v>
      </c>
      <c r="W405" s="357">
        <f t="shared" ca="1" si="178"/>
        <v>153.78129390396143</v>
      </c>
      <c r="X405" s="343"/>
      <c r="Y405" s="367" t="str">
        <f t="shared" ca="1" si="196"/>
        <v/>
      </c>
      <c r="Z405" s="368" t="str">
        <f t="shared" ca="1" si="197"/>
        <v/>
      </c>
      <c r="AA405" s="369" t="str">
        <f t="shared" ca="1" si="198"/>
        <v/>
      </c>
      <c r="AB405" s="344"/>
      <c r="AC405" s="363" t="e">
        <f t="shared" ca="1" si="199"/>
        <v>#N/A</v>
      </c>
      <c r="AD405" s="376" t="e">
        <f t="shared" ca="1" si="200"/>
        <v>#N/A</v>
      </c>
      <c r="AE405" s="377">
        <f t="shared" ca="1" si="179"/>
        <v>528.73413806211443</v>
      </c>
      <c r="AF405" s="344"/>
      <c r="AG405" s="359">
        <f t="shared" ca="1" si="201"/>
        <v>34.139918592519962</v>
      </c>
      <c r="AH405" s="357">
        <f t="shared" ca="1" si="202"/>
        <v>43.661888990178312</v>
      </c>
    </row>
    <row r="406" spans="1:34" x14ac:dyDescent="0.25">
      <c r="A406" s="402">
        <f t="shared" ca="1" si="180"/>
        <v>0.01</v>
      </c>
      <c r="B406" s="357">
        <f t="shared" ca="1" si="181"/>
        <v>4.0199999999999587</v>
      </c>
      <c r="C406" s="342"/>
      <c r="D406" s="359">
        <f t="shared" ca="1" si="182"/>
        <v>10.449649362914116</v>
      </c>
      <c r="E406" s="360">
        <f t="shared" ca="1" si="183"/>
        <v>32.339229340869657</v>
      </c>
      <c r="F406" s="357">
        <f t="shared" ca="1" si="184"/>
        <v>33.98559880551197</v>
      </c>
      <c r="G406" s="359">
        <f t="shared" ca="1" si="185"/>
        <v>58.03762470047441</v>
      </c>
      <c r="H406" s="360">
        <f t="shared" ca="1" si="186"/>
        <v>233.9998174460481</v>
      </c>
      <c r="I406" s="357">
        <f t="shared" ca="1" si="187"/>
        <v>241.08977673401449</v>
      </c>
      <c r="J406" s="359">
        <f t="shared" ca="1" si="188"/>
        <v>122.09809692004792</v>
      </c>
      <c r="K406" s="360">
        <f t="shared" ca="1" si="189"/>
        <v>531.07251927510788</v>
      </c>
      <c r="L406" s="357">
        <f t="shared" ca="1" si="174"/>
        <v>544.92748691978022</v>
      </c>
      <c r="M406" s="359">
        <f t="shared" ca="1" si="190"/>
        <v>1.3276780740017287</v>
      </c>
      <c r="N406" s="357">
        <f t="shared" ca="1" si="191"/>
        <v>76.070350192356841</v>
      </c>
      <c r="O406" s="343"/>
      <c r="P406" s="363">
        <f t="shared" ca="1" si="192"/>
        <v>14</v>
      </c>
      <c r="Q406" s="357">
        <f t="shared" ca="1" si="193"/>
        <v>620.68000000000939</v>
      </c>
      <c r="R406" s="359">
        <f t="shared" ca="1" si="194"/>
        <v>0.31091863568304379</v>
      </c>
      <c r="S406" s="360">
        <f t="shared" ca="1" si="195"/>
        <v>10.751778297303689</v>
      </c>
      <c r="T406" s="357">
        <f t="shared" ca="1" si="175"/>
        <v>105.47494509654919</v>
      </c>
      <c r="U406" s="364">
        <f t="shared" ca="1" si="176"/>
        <v>0</v>
      </c>
      <c r="V406" s="359">
        <f t="shared" ca="1" si="177"/>
        <v>1.1616264148644704</v>
      </c>
      <c r="W406" s="357">
        <f t="shared" ca="1" si="178"/>
        <v>154.17864032006523</v>
      </c>
      <c r="X406" s="343"/>
      <c r="Y406" s="367" t="str">
        <f t="shared" ca="1" si="196"/>
        <v/>
      </c>
      <c r="Z406" s="368" t="str">
        <f t="shared" ca="1" si="197"/>
        <v/>
      </c>
      <c r="AA406" s="369" t="str">
        <f t="shared" ca="1" si="198"/>
        <v/>
      </c>
      <c r="AB406" s="344"/>
      <c r="AC406" s="363" t="e">
        <f t="shared" ca="1" si="199"/>
        <v>#N/A</v>
      </c>
      <c r="AD406" s="376" t="e">
        <f t="shared" ca="1" si="200"/>
        <v>#N/A</v>
      </c>
      <c r="AE406" s="377">
        <f t="shared" ca="1" si="179"/>
        <v>531.07251927510788</v>
      </c>
      <c r="AF406" s="344"/>
      <c r="AG406" s="359">
        <f t="shared" ca="1" si="201"/>
        <v>33.903515172420221</v>
      </c>
      <c r="AH406" s="357">
        <f t="shared" ca="1" si="202"/>
        <v>43.425254240327476</v>
      </c>
    </row>
    <row r="407" spans="1:34" x14ac:dyDescent="0.25">
      <c r="A407" s="402">
        <f t="shared" ca="1" si="180"/>
        <v>0.01</v>
      </c>
      <c r="B407" s="357">
        <f t="shared" ca="1" si="181"/>
        <v>4.0299999999999585</v>
      </c>
      <c r="C407" s="342"/>
      <c r="D407" s="359">
        <f t="shared" ca="1" si="182"/>
        <v>10.396826560422433</v>
      </c>
      <c r="E407" s="360">
        <f t="shared" ca="1" si="183"/>
        <v>32.108592115248747</v>
      </c>
      <c r="F407" s="357">
        <f t="shared" ca="1" si="184"/>
        <v>33.749899113196165</v>
      </c>
      <c r="G407" s="359">
        <f t="shared" ca="1" si="185"/>
        <v>58.141592966078633</v>
      </c>
      <c r="H407" s="360">
        <f t="shared" ca="1" si="186"/>
        <v>234.32090336720057</v>
      </c>
      <c r="I407" s="357">
        <f t="shared" ca="1" si="187"/>
        <v>241.42644964347653</v>
      </c>
      <c r="J407" s="359">
        <f t="shared" ca="1" si="188"/>
        <v>122.67899300838069</v>
      </c>
      <c r="K407" s="360">
        <f t="shared" ca="1" si="189"/>
        <v>533.4141228791741</v>
      </c>
      <c r="L407" s="357">
        <f t="shared" ca="1" si="174"/>
        <v>547.33971335223703</v>
      </c>
      <c r="M407" s="359">
        <f t="shared" ca="1" si="190"/>
        <v>1.3275802568539283</v>
      </c>
      <c r="N407" s="357">
        <f t="shared" ca="1" si="191"/>
        <v>76.064745682623879</v>
      </c>
      <c r="O407" s="343"/>
      <c r="P407" s="363">
        <f t="shared" ca="1" si="192"/>
        <v>14</v>
      </c>
      <c r="Q407" s="357">
        <f t="shared" ca="1" si="193"/>
        <v>618.40000000000941</v>
      </c>
      <c r="R407" s="359">
        <f t="shared" ca="1" si="194"/>
        <v>0.30977651012823726</v>
      </c>
      <c r="S407" s="360">
        <f t="shared" ca="1" si="195"/>
        <v>10.748680532202407</v>
      </c>
      <c r="T407" s="357">
        <f t="shared" ca="1" si="175"/>
        <v>105.44455602090562</v>
      </c>
      <c r="U407" s="364">
        <f t="shared" ca="1" si="176"/>
        <v>0</v>
      </c>
      <c r="V407" s="359">
        <f t="shared" ca="1" si="177"/>
        <v>1.1613542471196832</v>
      </c>
      <c r="W407" s="357">
        <f t="shared" ca="1" si="178"/>
        <v>154.57332562135727</v>
      </c>
      <c r="X407" s="343"/>
      <c r="Y407" s="367" t="str">
        <f t="shared" ca="1" si="196"/>
        <v/>
      </c>
      <c r="Z407" s="368" t="str">
        <f t="shared" ca="1" si="197"/>
        <v/>
      </c>
      <c r="AA407" s="369" t="str">
        <f t="shared" ca="1" si="198"/>
        <v/>
      </c>
      <c r="AB407" s="344"/>
      <c r="AC407" s="363" t="e">
        <f t="shared" ca="1" si="199"/>
        <v>#N/A</v>
      </c>
      <c r="AD407" s="376" t="e">
        <f t="shared" ca="1" si="200"/>
        <v>#N/A</v>
      </c>
      <c r="AE407" s="377">
        <f t="shared" ca="1" si="179"/>
        <v>533.4141228791741</v>
      </c>
      <c r="AF407" s="344"/>
      <c r="AG407" s="359">
        <f t="shared" ca="1" si="201"/>
        <v>33.667175445446318</v>
      </c>
      <c r="AH407" s="357">
        <f t="shared" ca="1" si="202"/>
        <v>43.188683326215212</v>
      </c>
    </row>
    <row r="408" spans="1:34" x14ac:dyDescent="0.25">
      <c r="A408" s="402">
        <f t="shared" ca="1" si="180"/>
        <v>0.01</v>
      </c>
      <c r="B408" s="357">
        <f t="shared" ca="1" si="181"/>
        <v>4.0399999999999583</v>
      </c>
      <c r="C408" s="342"/>
      <c r="D408" s="359">
        <f t="shared" ca="1" si="182"/>
        <v>10.34397040766711</v>
      </c>
      <c r="E408" s="360">
        <f t="shared" ca="1" si="183"/>
        <v>31.878030318368864</v>
      </c>
      <c r="F408" s="357">
        <f t="shared" ca="1" si="184"/>
        <v>33.514273687095432</v>
      </c>
      <c r="G408" s="359">
        <f t="shared" ca="1" si="185"/>
        <v>58.245032670155304</v>
      </c>
      <c r="H408" s="360">
        <f t="shared" ca="1" si="186"/>
        <v>234.63968367038427</v>
      </c>
      <c r="I408" s="357">
        <f t="shared" ca="1" si="187"/>
        <v>241.76075980953868</v>
      </c>
      <c r="J408" s="359">
        <f t="shared" ca="1" si="188"/>
        <v>123.26092613656185</v>
      </c>
      <c r="K408" s="360">
        <f t="shared" ca="1" si="189"/>
        <v>535.75892581436199</v>
      </c>
      <c r="L408" s="357">
        <f t="shared" ca="1" si="174"/>
        <v>549.75529329129881</v>
      </c>
      <c r="M408" s="359">
        <f t="shared" ca="1" si="190"/>
        <v>1.3274825364452039</v>
      </c>
      <c r="N408" s="357">
        <f t="shared" ca="1" si="191"/>
        <v>76.05914671563167</v>
      </c>
      <c r="O408" s="343"/>
      <c r="P408" s="363">
        <f t="shared" ca="1" si="192"/>
        <v>14</v>
      </c>
      <c r="Q408" s="357">
        <f t="shared" ca="1" si="193"/>
        <v>616.12000000000944</v>
      </c>
      <c r="R408" s="359">
        <f t="shared" ca="1" si="194"/>
        <v>0.30863438457343073</v>
      </c>
      <c r="S408" s="360">
        <f t="shared" ca="1" si="195"/>
        <v>10.745594188356673</v>
      </c>
      <c r="T408" s="357">
        <f t="shared" ca="1" si="175"/>
        <v>105.41427898777897</v>
      </c>
      <c r="U408" s="364">
        <f t="shared" ca="1" si="176"/>
        <v>0</v>
      </c>
      <c r="V408" s="359">
        <f t="shared" ca="1" si="177"/>
        <v>1.1610817697078055</v>
      </c>
      <c r="W408" s="357">
        <f t="shared" ca="1" si="178"/>
        <v>154.96533972934515</v>
      </c>
      <c r="X408" s="343"/>
      <c r="Y408" s="367" t="str">
        <f t="shared" ca="1" si="196"/>
        <v/>
      </c>
      <c r="Z408" s="368" t="str">
        <f t="shared" ca="1" si="197"/>
        <v/>
      </c>
      <c r="AA408" s="369" t="str">
        <f t="shared" ca="1" si="198"/>
        <v/>
      </c>
      <c r="AB408" s="344"/>
      <c r="AC408" s="363" t="e">
        <f t="shared" ca="1" si="199"/>
        <v>#N/A</v>
      </c>
      <c r="AD408" s="376" t="e">
        <f t="shared" ca="1" si="200"/>
        <v>#N/A</v>
      </c>
      <c r="AE408" s="377">
        <f t="shared" ca="1" si="179"/>
        <v>535.75892581436199</v>
      </c>
      <c r="AF408" s="344"/>
      <c r="AG408" s="359">
        <f t="shared" ca="1" si="201"/>
        <v>33.430901174174764</v>
      </c>
      <c r="AH408" s="357">
        <f t="shared" ca="1" si="202"/>
        <v>42.952178007872135</v>
      </c>
    </row>
    <row r="409" spans="1:34" x14ac:dyDescent="0.25">
      <c r="A409" s="402">
        <f t="shared" ca="1" si="180"/>
        <v>0.01</v>
      </c>
      <c r="B409" s="357">
        <f t="shared" ca="1" si="181"/>
        <v>4.0499999999999581</v>
      </c>
      <c r="C409" s="342"/>
      <c r="D409" s="359">
        <f t="shared" ca="1" si="182"/>
        <v>10.291081463309599</v>
      </c>
      <c r="E409" s="360">
        <f t="shared" ca="1" si="183"/>
        <v>31.647545621987575</v>
      </c>
      <c r="F409" s="357">
        <f t="shared" ca="1" si="184"/>
        <v>33.278724458432286</v>
      </c>
      <c r="G409" s="359">
        <f t="shared" ca="1" si="185"/>
        <v>58.347943484788402</v>
      </c>
      <c r="H409" s="360">
        <f t="shared" ca="1" si="186"/>
        <v>234.95615912660415</v>
      </c>
      <c r="I409" s="357">
        <f t="shared" ca="1" si="187"/>
        <v>242.09270790428653</v>
      </c>
      <c r="J409" s="359">
        <f t="shared" ca="1" si="188"/>
        <v>123.84389101733657</v>
      </c>
      <c r="K409" s="360">
        <f t="shared" ca="1" si="189"/>
        <v>538.10690502834689</v>
      </c>
      <c r="L409" s="357">
        <f t="shared" ca="1" si="174"/>
        <v>552.17420311121043</v>
      </c>
      <c r="M409" s="359">
        <f t="shared" ca="1" si="190"/>
        <v>1.3273849115948542</v>
      </c>
      <c r="N409" s="357">
        <f t="shared" ca="1" si="191"/>
        <v>76.053553223731029</v>
      </c>
      <c r="O409" s="343"/>
      <c r="P409" s="363">
        <f t="shared" ca="1" si="192"/>
        <v>14</v>
      </c>
      <c r="Q409" s="357">
        <f t="shared" ca="1" si="193"/>
        <v>613.84000000000947</v>
      </c>
      <c r="R409" s="359">
        <f t="shared" ca="1" si="194"/>
        <v>0.3074922590186242</v>
      </c>
      <c r="S409" s="360">
        <f t="shared" ca="1" si="195"/>
        <v>10.742519265766488</v>
      </c>
      <c r="T409" s="357">
        <f t="shared" ca="1" si="175"/>
        <v>105.38411399716925</v>
      </c>
      <c r="U409" s="364">
        <f t="shared" ca="1" si="176"/>
        <v>0</v>
      </c>
      <c r="V409" s="359">
        <f t="shared" ca="1" si="177"/>
        <v>1.1608089855401096</v>
      </c>
      <c r="W409" s="357">
        <f t="shared" ca="1" si="178"/>
        <v>155.35467270032382</v>
      </c>
      <c r="X409" s="343"/>
      <c r="Y409" s="367" t="str">
        <f t="shared" ca="1" si="196"/>
        <v/>
      </c>
      <c r="Z409" s="368" t="str">
        <f t="shared" ca="1" si="197"/>
        <v/>
      </c>
      <c r="AA409" s="369" t="str">
        <f t="shared" ca="1" si="198"/>
        <v/>
      </c>
      <c r="AB409" s="344"/>
      <c r="AC409" s="363" t="e">
        <f t="shared" ca="1" si="199"/>
        <v>#N/A</v>
      </c>
      <c r="AD409" s="376" t="e">
        <f t="shared" ca="1" si="200"/>
        <v>#N/A</v>
      </c>
      <c r="AE409" s="377">
        <f t="shared" ca="1" si="179"/>
        <v>538.10690502834689</v>
      </c>
      <c r="AF409" s="344"/>
      <c r="AG409" s="359">
        <f t="shared" ca="1" si="201"/>
        <v>33.194694110207223</v>
      </c>
      <c r="AH409" s="357">
        <f t="shared" ca="1" si="202"/>
        <v>42.715740034367371</v>
      </c>
    </row>
    <row r="410" spans="1:34" x14ac:dyDescent="0.25">
      <c r="A410" s="402">
        <f t="shared" ca="1" si="180"/>
        <v>0.01</v>
      </c>
      <c r="B410" s="357">
        <f t="shared" ca="1" si="181"/>
        <v>4.0599999999999579</v>
      </c>
      <c r="C410" s="342"/>
      <c r="D410" s="359">
        <f t="shared" ca="1" si="182"/>
        <v>10.238160282578701</v>
      </c>
      <c r="E410" s="360">
        <f t="shared" ca="1" si="183"/>
        <v>31.417139687354521</v>
      </c>
      <c r="F410" s="357">
        <f t="shared" ca="1" si="184"/>
        <v>33.043253352333792</v>
      </c>
      <c r="G410" s="359">
        <f t="shared" ca="1" si="185"/>
        <v>58.450325087614189</v>
      </c>
      <c r="H410" s="360">
        <f t="shared" ca="1" si="186"/>
        <v>235.2703305234777</v>
      </c>
      <c r="I410" s="357">
        <f t="shared" ca="1" si="187"/>
        <v>242.42229461721175</v>
      </c>
      <c r="J410" s="359">
        <f t="shared" ca="1" si="188"/>
        <v>124.42788236019858</v>
      </c>
      <c r="K410" s="360">
        <f t="shared" ca="1" si="189"/>
        <v>540.45803747659727</v>
      </c>
      <c r="L410" s="357">
        <f t="shared" ca="1" si="174"/>
        <v>554.59641919300054</v>
      </c>
      <c r="M410" s="359">
        <f t="shared" ca="1" si="190"/>
        <v>1.3272873811296331</v>
      </c>
      <c r="N410" s="357">
        <f t="shared" ca="1" si="191"/>
        <v>76.047965139699926</v>
      </c>
      <c r="O410" s="343"/>
      <c r="P410" s="363">
        <f t="shared" ca="1" si="192"/>
        <v>14</v>
      </c>
      <c r="Q410" s="357">
        <f t="shared" ca="1" si="193"/>
        <v>611.5600000000095</v>
      </c>
      <c r="R410" s="359">
        <f t="shared" ca="1" si="194"/>
        <v>0.30635013346381768</v>
      </c>
      <c r="S410" s="360">
        <f t="shared" ca="1" si="195"/>
        <v>10.739455764431849</v>
      </c>
      <c r="T410" s="357">
        <f t="shared" ca="1" si="175"/>
        <v>105.35406104907645</v>
      </c>
      <c r="U410" s="364">
        <f t="shared" ca="1" si="176"/>
        <v>0</v>
      </c>
      <c r="V410" s="359">
        <f t="shared" ca="1" si="177"/>
        <v>1.1605358975246918</v>
      </c>
      <c r="W410" s="357">
        <f t="shared" ca="1" si="178"/>
        <v>155.74131472513017</v>
      </c>
      <c r="X410" s="343"/>
      <c r="Y410" s="367" t="str">
        <f t="shared" ca="1" si="196"/>
        <v/>
      </c>
      <c r="Z410" s="368" t="str">
        <f t="shared" ca="1" si="197"/>
        <v/>
      </c>
      <c r="AA410" s="369" t="str">
        <f t="shared" ca="1" si="198"/>
        <v/>
      </c>
      <c r="AB410" s="344"/>
      <c r="AC410" s="363" t="e">
        <f t="shared" ca="1" si="199"/>
        <v>#N/A</v>
      </c>
      <c r="AD410" s="376" t="e">
        <f t="shared" ca="1" si="200"/>
        <v>#N/A</v>
      </c>
      <c r="AE410" s="377">
        <f t="shared" ca="1" si="179"/>
        <v>540.45803747659727</v>
      </c>
      <c r="AF410" s="344"/>
      <c r="AG410" s="359">
        <f t="shared" ca="1" si="201"/>
        <v>32.958555994158672</v>
      </c>
      <c r="AH410" s="357">
        <f t="shared" ca="1" si="202"/>
        <v>42.479371143796541</v>
      </c>
    </row>
    <row r="411" spans="1:34" x14ac:dyDescent="0.25">
      <c r="A411" s="402">
        <f t="shared" ca="1" si="180"/>
        <v>0.01</v>
      </c>
      <c r="B411" s="357">
        <f t="shared" ca="1" si="181"/>
        <v>4.0699999999999577</v>
      </c>
      <c r="C411" s="342"/>
      <c r="D411" s="359">
        <f t="shared" ca="1" si="182"/>
        <v>10.185207417274766</v>
      </c>
      <c r="E411" s="360">
        <f t="shared" ca="1" si="183"/>
        <v>31.186814165199401</v>
      </c>
      <c r="F411" s="357">
        <f t="shared" ca="1" si="184"/>
        <v>32.807862287988087</v>
      </c>
      <c r="G411" s="359">
        <f t="shared" ca="1" si="185"/>
        <v>58.552177161786936</v>
      </c>
      <c r="H411" s="360">
        <f t="shared" ca="1" si="186"/>
        <v>235.58219866512968</v>
      </c>
      <c r="I411" s="357">
        <f t="shared" ca="1" si="187"/>
        <v>242.74952065510226</v>
      </c>
      <c r="J411" s="359">
        <f t="shared" ca="1" si="188"/>
        <v>125.01289487144558</v>
      </c>
      <c r="K411" s="360">
        <f t="shared" ca="1" si="189"/>
        <v>542.81230012254025</v>
      </c>
      <c r="L411" s="357">
        <f t="shared" ca="1" si="174"/>
        <v>557.02191792465567</v>
      </c>
      <c r="M411" s="359">
        <f t="shared" ca="1" si="190"/>
        <v>1.3271899438836481</v>
      </c>
      <c r="N411" s="357">
        <f t="shared" ca="1" si="191"/>
        <v>76.042382396737608</v>
      </c>
      <c r="O411" s="343"/>
      <c r="P411" s="363">
        <f t="shared" ca="1" si="192"/>
        <v>14</v>
      </c>
      <c r="Q411" s="357">
        <f t="shared" ca="1" si="193"/>
        <v>609.28000000000952</v>
      </c>
      <c r="R411" s="359">
        <f t="shared" ca="1" si="194"/>
        <v>0.30520800790901115</v>
      </c>
      <c r="S411" s="360">
        <f t="shared" ca="1" si="195"/>
        <v>10.736403684352759</v>
      </c>
      <c r="T411" s="357">
        <f t="shared" ca="1" si="175"/>
        <v>105.32412014350056</v>
      </c>
      <c r="U411" s="364">
        <f t="shared" ca="1" si="176"/>
        <v>0</v>
      </c>
      <c r="V411" s="359">
        <f t="shared" ca="1" si="177"/>
        <v>1.1602625085664495</v>
      </c>
      <c r="W411" s="357">
        <f t="shared" ca="1" si="178"/>
        <v>156.12525612889266</v>
      </c>
      <c r="X411" s="343"/>
      <c r="Y411" s="367" t="str">
        <f t="shared" ca="1" si="196"/>
        <v/>
      </c>
      <c r="Z411" s="368" t="str">
        <f t="shared" ca="1" si="197"/>
        <v/>
      </c>
      <c r="AA411" s="369" t="str">
        <f t="shared" ca="1" si="198"/>
        <v/>
      </c>
      <c r="AB411" s="344"/>
      <c r="AC411" s="363" t="e">
        <f t="shared" ca="1" si="199"/>
        <v>#N/A</v>
      </c>
      <c r="AD411" s="376" t="e">
        <f t="shared" ca="1" si="200"/>
        <v>#N/A</v>
      </c>
      <c r="AE411" s="377">
        <f t="shared" ca="1" si="179"/>
        <v>542.81230012254025</v>
      </c>
      <c r="AF411" s="344"/>
      <c r="AG411" s="359">
        <f t="shared" ca="1" si="201"/>
        <v>32.722488555646301</v>
      </c>
      <c r="AH411" s="357">
        <f t="shared" ca="1" si="202"/>
        <v>42.243073063270423</v>
      </c>
    </row>
    <row r="412" spans="1:34" x14ac:dyDescent="0.25">
      <c r="A412" s="402">
        <f t="shared" ca="1" si="180"/>
        <v>0.01</v>
      </c>
      <c r="B412" s="357">
        <f t="shared" ca="1" si="181"/>
        <v>4.0799999999999574</v>
      </c>
      <c r="C412" s="342"/>
      <c r="D412" s="359">
        <f t="shared" ca="1" si="182"/>
        <v>10.132223415773952</v>
      </c>
      <c r="E412" s="360">
        <f t="shared" ca="1" si="183"/>
        <v>30.956570695720487</v>
      </c>
      <c r="F412" s="357">
        <f t="shared" ca="1" si="184"/>
        <v>32.572553178808356</v>
      </c>
      <c r="G412" s="359">
        <f t="shared" ca="1" si="185"/>
        <v>58.653499395944678</v>
      </c>
      <c r="H412" s="360">
        <f t="shared" ca="1" si="186"/>
        <v>235.8917643720869</v>
      </c>
      <c r="I412" s="357">
        <f t="shared" ca="1" si="187"/>
        <v>243.07438674193182</v>
      </c>
      <c r="J412" s="359">
        <f t="shared" ca="1" si="188"/>
        <v>125.59892325423424</v>
      </c>
      <c r="K412" s="360">
        <f t="shared" ca="1" si="189"/>
        <v>545.16966993772633</v>
      </c>
      <c r="L412" s="357">
        <f t="shared" ca="1" si="174"/>
        <v>559.45067570129231</v>
      </c>
      <c r="M412" s="359">
        <f t="shared" ca="1" si="190"/>
        <v>1.3270925986982629</v>
      </c>
      <c r="N412" s="357">
        <f t="shared" ca="1" si="191"/>
        <v>76.036804928459105</v>
      </c>
      <c r="O412" s="343"/>
      <c r="P412" s="363">
        <f t="shared" ca="1" si="192"/>
        <v>14</v>
      </c>
      <c r="Q412" s="357">
        <f t="shared" ca="1" si="193"/>
        <v>607.00000000000955</v>
      </c>
      <c r="R412" s="359">
        <f t="shared" ca="1" si="194"/>
        <v>0.30406588235420456</v>
      </c>
      <c r="S412" s="360">
        <f t="shared" ca="1" si="195"/>
        <v>10.733363025529217</v>
      </c>
      <c r="T412" s="357">
        <f t="shared" ca="1" si="175"/>
        <v>105.29429128044163</v>
      </c>
      <c r="U412" s="364">
        <f t="shared" ca="1" si="176"/>
        <v>0</v>
      </c>
      <c r="V412" s="359">
        <f t="shared" ca="1" si="177"/>
        <v>1.159988821567056</v>
      </c>
      <c r="W412" s="357">
        <f t="shared" ca="1" si="178"/>
        <v>156.50648737077461</v>
      </c>
      <c r="X412" s="343"/>
      <c r="Y412" s="367" t="str">
        <f t="shared" ca="1" si="196"/>
        <v/>
      </c>
      <c r="Z412" s="368" t="str">
        <f t="shared" ca="1" si="197"/>
        <v/>
      </c>
      <c r="AA412" s="369" t="str">
        <f t="shared" ca="1" si="198"/>
        <v/>
      </c>
      <c r="AB412" s="344"/>
      <c r="AC412" s="363" t="e">
        <f t="shared" ca="1" si="199"/>
        <v>#N/A</v>
      </c>
      <c r="AD412" s="376" t="e">
        <f t="shared" ca="1" si="200"/>
        <v>#N/A</v>
      </c>
      <c r="AE412" s="377">
        <f t="shared" ca="1" si="179"/>
        <v>545.16966993772633</v>
      </c>
      <c r="AF412" s="344"/>
      <c r="AG412" s="359">
        <f t="shared" ca="1" si="201"/>
        <v>32.486493513278973</v>
      </c>
      <c r="AH412" s="357">
        <f t="shared" ca="1" si="202"/>
        <v>42.006847508904244</v>
      </c>
    </row>
    <row r="413" spans="1:34" x14ac:dyDescent="0.25">
      <c r="A413" s="402">
        <f t="shared" ca="1" si="180"/>
        <v>0.01</v>
      </c>
      <c r="B413" s="357">
        <f t="shared" ca="1" si="181"/>
        <v>4.0899999999999572</v>
      </c>
      <c r="C413" s="342"/>
      <c r="D413" s="359">
        <f t="shared" ca="1" si="182"/>
        <v>10.079208823032355</v>
      </c>
      <c r="E413" s="360">
        <f t="shared" ca="1" si="183"/>
        <v>30.726410908573953</v>
      </c>
      <c r="F413" s="357">
        <f t="shared" ca="1" si="184"/>
        <v>32.33732793260485</v>
      </c>
      <c r="G413" s="359">
        <f t="shared" ca="1" si="185"/>
        <v>58.754291484174999</v>
      </c>
      <c r="H413" s="360">
        <f t="shared" ca="1" si="186"/>
        <v>236.19902848117263</v>
      </c>
      <c r="I413" s="357">
        <f t="shared" ca="1" si="187"/>
        <v>243.3968936187502</v>
      </c>
      <c r="J413" s="359">
        <f t="shared" ca="1" si="188"/>
        <v>126.18596220863483</v>
      </c>
      <c r="K413" s="360">
        <f t="shared" ca="1" si="189"/>
        <v>547.53012390199262</v>
      </c>
      <c r="L413" s="357">
        <f t="shared" ca="1" si="174"/>
        <v>561.88266892532863</v>
      </c>
      <c r="M413" s="359">
        <f t="shared" ca="1" si="190"/>
        <v>1.3269953444219986</v>
      </c>
      <c r="N413" s="357">
        <f t="shared" ca="1" si="191"/>
        <v>76.031232668889572</v>
      </c>
      <c r="O413" s="343"/>
      <c r="P413" s="363">
        <f t="shared" ca="1" si="192"/>
        <v>14</v>
      </c>
      <c r="Q413" s="357">
        <f t="shared" ca="1" si="193"/>
        <v>604.72000000000958</v>
      </c>
      <c r="R413" s="359">
        <f t="shared" ca="1" si="194"/>
        <v>0.30292375679939804</v>
      </c>
      <c r="S413" s="360">
        <f t="shared" ca="1" si="195"/>
        <v>10.730333787961223</v>
      </c>
      <c r="T413" s="357">
        <f t="shared" ca="1" si="175"/>
        <v>105.26457445989961</v>
      </c>
      <c r="U413" s="364">
        <f t="shared" ca="1" si="176"/>
        <v>0</v>
      </c>
      <c r="V413" s="359">
        <f t="shared" ca="1" si="177"/>
        <v>1.159714839424937</v>
      </c>
      <c r="W413" s="357">
        <f t="shared" ca="1" si="178"/>
        <v>156.88499904371378</v>
      </c>
      <c r="X413" s="343"/>
      <c r="Y413" s="367" t="str">
        <f t="shared" ca="1" si="196"/>
        <v/>
      </c>
      <c r="Z413" s="368" t="str">
        <f t="shared" ca="1" si="197"/>
        <v/>
      </c>
      <c r="AA413" s="369" t="str">
        <f t="shared" ca="1" si="198"/>
        <v/>
      </c>
      <c r="AB413" s="344"/>
      <c r="AC413" s="363" t="e">
        <f t="shared" ca="1" si="199"/>
        <v>#N/A</v>
      </c>
      <c r="AD413" s="376" t="e">
        <f t="shared" ca="1" si="200"/>
        <v>#N/A</v>
      </c>
      <c r="AE413" s="377">
        <f t="shared" ca="1" si="179"/>
        <v>547.53012390199262</v>
      </c>
      <c r="AF413" s="344"/>
      <c r="AG413" s="359">
        <f t="shared" ca="1" si="201"/>
        <v>32.250572574647379</v>
      </c>
      <c r="AH413" s="357">
        <f t="shared" ca="1" si="202"/>
        <v>41.770696185807665</v>
      </c>
    </row>
    <row r="414" spans="1:34" x14ac:dyDescent="0.25">
      <c r="A414" s="402">
        <f t="shared" ca="1" si="180"/>
        <v>0.01</v>
      </c>
      <c r="B414" s="357">
        <f t="shared" ca="1" si="181"/>
        <v>4.099999999999957</v>
      </c>
      <c r="C414" s="342"/>
      <c r="D414" s="359">
        <f t="shared" ca="1" si="182"/>
        <v>10.026164180590266</v>
      </c>
      <c r="E414" s="360">
        <f t="shared" ca="1" si="183"/>
        <v>30.496336422863699</v>
      </c>
      <c r="F414" s="357">
        <f t="shared" ca="1" si="184"/>
        <v>32.102188451765002</v>
      </c>
      <c r="G414" s="359">
        <f t="shared" ca="1" si="185"/>
        <v>58.8545531259809</v>
      </c>
      <c r="H414" s="360">
        <f t="shared" ca="1" si="186"/>
        <v>236.50399184540126</v>
      </c>
      <c r="I414" s="357">
        <f t="shared" ca="1" si="187"/>
        <v>243.7170420435726</v>
      </c>
      <c r="J414" s="359">
        <f t="shared" ca="1" si="188"/>
        <v>126.77400643168561</v>
      </c>
      <c r="K414" s="360">
        <f t="shared" ca="1" si="189"/>
        <v>549.89363900362548</v>
      </c>
      <c r="L414" s="357">
        <f t="shared" ca="1" si="174"/>
        <v>564.31787400665473</v>
      </c>
      <c r="M414" s="359">
        <f t="shared" ca="1" si="190"/>
        <v>1.326898179910438</v>
      </c>
      <c r="N414" s="357">
        <f t="shared" ca="1" si="191"/>
        <v>76.02566555245869</v>
      </c>
      <c r="O414" s="343"/>
      <c r="P414" s="363">
        <f t="shared" ca="1" si="192"/>
        <v>14</v>
      </c>
      <c r="Q414" s="357">
        <f t="shared" ca="1" si="193"/>
        <v>602.4400000000096</v>
      </c>
      <c r="R414" s="359">
        <f t="shared" ca="1" si="194"/>
        <v>0.30178163124459151</v>
      </c>
      <c r="S414" s="360">
        <f t="shared" ca="1" si="195"/>
        <v>10.727315971648776</v>
      </c>
      <c r="T414" s="357">
        <f t="shared" ca="1" si="175"/>
        <v>105.2349696818745</v>
      </c>
      <c r="U414" s="364">
        <f t="shared" ca="1" si="176"/>
        <v>0</v>
      </c>
      <c r="V414" s="359">
        <f t="shared" ca="1" si="177"/>
        <v>1.1594405650352455</v>
      </c>
      <c r="W414" s="357">
        <f t="shared" ca="1" si="178"/>
        <v>157.26078187415465</v>
      </c>
      <c r="X414" s="343"/>
      <c r="Y414" s="367" t="str">
        <f t="shared" ca="1" si="196"/>
        <v/>
      </c>
      <c r="Z414" s="368" t="str">
        <f t="shared" ca="1" si="197"/>
        <v/>
      </c>
      <c r="AA414" s="369" t="str">
        <f t="shared" ca="1" si="198"/>
        <v/>
      </c>
      <c r="AB414" s="344"/>
      <c r="AC414" s="363" t="e">
        <f t="shared" ca="1" si="199"/>
        <v>#N/A</v>
      </c>
      <c r="AD414" s="376" t="e">
        <f t="shared" ca="1" si="200"/>
        <v>#N/A</v>
      </c>
      <c r="AE414" s="377">
        <f t="shared" ca="1" si="179"/>
        <v>549.89363900362548</v>
      </c>
      <c r="AF414" s="344"/>
      <c r="AG414" s="359">
        <f t="shared" ca="1" si="201"/>
        <v>32.014727436314814</v>
      </c>
      <c r="AH414" s="357">
        <f t="shared" ca="1" si="202"/>
        <v>41.534620788075337</v>
      </c>
    </row>
    <row r="415" spans="1:34" x14ac:dyDescent="0.25">
      <c r="A415" s="402">
        <f t="shared" ca="1" si="180"/>
        <v>0.01</v>
      </c>
      <c r="B415" s="357">
        <f t="shared" ca="1" si="181"/>
        <v>4.1099999999999568</v>
      </c>
      <c r="C415" s="342"/>
      <c r="D415" s="359">
        <f t="shared" ca="1" si="182"/>
        <v>9.917309614385811</v>
      </c>
      <c r="E415" s="360">
        <f t="shared" ca="1" si="183"/>
        <v>30.042198132375681</v>
      </c>
      <c r="F415" s="357">
        <f t="shared" ca="1" si="184"/>
        <v>31.636793431264589</v>
      </c>
      <c r="G415" s="359">
        <f t="shared" ca="1" si="185"/>
        <v>58.953726222124757</v>
      </c>
      <c r="H415" s="360">
        <f t="shared" ca="1" si="186"/>
        <v>236.80441382672501</v>
      </c>
      <c r="I415" s="357">
        <f t="shared" ca="1" si="187"/>
        <v>244.03252292121243</v>
      </c>
      <c r="J415" s="359">
        <f t="shared" ca="1" si="188"/>
        <v>127.36304782842613</v>
      </c>
      <c r="K415" s="360">
        <f t="shared" ca="1" si="189"/>
        <v>552.26018103198612</v>
      </c>
      <c r="L415" s="357">
        <f t="shared" ca="1" si="174"/>
        <v>566.75625581516795</v>
      </c>
      <c r="M415" s="359">
        <f t="shared" ca="1" si="190"/>
        <v>1.326801103107266</v>
      </c>
      <c r="N415" s="357">
        <f t="shared" ca="1" si="191"/>
        <v>76.020103461348313</v>
      </c>
      <c r="O415" s="343"/>
      <c r="P415" s="363">
        <f t="shared" ca="1" si="192"/>
        <v>15</v>
      </c>
      <c r="Q415" s="357">
        <f t="shared" ca="1" si="193"/>
        <v>597.6833333333642</v>
      </c>
      <c r="R415" s="359">
        <f t="shared" ca="1" si="194"/>
        <v>0.299398863457016</v>
      </c>
      <c r="S415" s="360">
        <f t="shared" ca="1" si="195"/>
        <v>10.724321983014207</v>
      </c>
      <c r="T415" s="357">
        <f t="shared" ca="1" si="175"/>
        <v>105.20559865336938</v>
      </c>
      <c r="U415" s="364">
        <f t="shared" ca="1" si="176"/>
        <v>0</v>
      </c>
      <c r="V415" s="359">
        <f t="shared" ca="1" si="177"/>
        <v>1.1591660025899679</v>
      </c>
      <c r="W415" s="357">
        <f t="shared" ca="1" si="178"/>
        <v>157.63084280053744</v>
      </c>
      <c r="X415" s="343"/>
      <c r="Y415" s="367" t="str">
        <f t="shared" ca="1" si="196"/>
        <v/>
      </c>
      <c r="Z415" s="368" t="str">
        <f t="shared" ca="1" si="197"/>
        <v/>
      </c>
      <c r="AA415" s="369" t="str">
        <f t="shared" ca="1" si="198"/>
        <v/>
      </c>
      <c r="AB415" s="344"/>
      <c r="AC415" s="363" t="e">
        <f t="shared" ca="1" si="199"/>
        <v>#N/A</v>
      </c>
      <c r="AD415" s="376" t="e">
        <f t="shared" ca="1" si="200"/>
        <v>#N/A</v>
      </c>
      <c r="AE415" s="377">
        <f t="shared" ca="1" si="179"/>
        <v>552.26018103198612</v>
      </c>
      <c r="AF415" s="344"/>
      <c r="AG415" s="359">
        <f t="shared" ca="1" si="201"/>
        <v>31.54797277700979</v>
      </c>
      <c r="AH415" s="357">
        <f t="shared" ca="1" si="202"/>
        <v>41.067635991979344</v>
      </c>
    </row>
    <row r="416" spans="1:34" x14ac:dyDescent="0.25">
      <c r="A416" s="402">
        <f t="shared" ca="1" si="180"/>
        <v>0.01</v>
      </c>
      <c r="B416" s="357">
        <f t="shared" ca="1" si="181"/>
        <v>4.1199999999999566</v>
      </c>
      <c r="C416" s="342"/>
      <c r="D416" s="359">
        <f t="shared" ca="1" si="182"/>
        <v>9.7525901883956507</v>
      </c>
      <c r="E416" s="360">
        <f t="shared" ca="1" si="183"/>
        <v>29.364053123525629</v>
      </c>
      <c r="F416" s="357">
        <f t="shared" ca="1" si="184"/>
        <v>30.941244823439575</v>
      </c>
      <c r="G416" s="359">
        <f t="shared" ca="1" si="185"/>
        <v>59.051252124008712</v>
      </c>
      <c r="H416" s="360">
        <f t="shared" ca="1" si="186"/>
        <v>237.09805435796028</v>
      </c>
      <c r="I416" s="357">
        <f t="shared" ca="1" si="187"/>
        <v>244.34102757773516</v>
      </c>
      <c r="J416" s="359">
        <f t="shared" ca="1" si="188"/>
        <v>127.9530727201568</v>
      </c>
      <c r="K416" s="360">
        <f t="shared" ca="1" si="189"/>
        <v>554.62969337290951</v>
      </c>
      <c r="L416" s="357">
        <f t="shared" ca="1" si="174"/>
        <v>569.19775613529725</v>
      </c>
      <c r="M416" s="359">
        <f t="shared" ca="1" si="190"/>
        <v>1.3267041110519278</v>
      </c>
      <c r="N416" s="357">
        <f t="shared" ca="1" si="191"/>
        <v>76.014546225931142</v>
      </c>
      <c r="O416" s="343"/>
      <c r="P416" s="363">
        <f t="shared" ca="1" si="192"/>
        <v>15</v>
      </c>
      <c r="Q416" s="357">
        <f t="shared" ca="1" si="193"/>
        <v>590.45000000003108</v>
      </c>
      <c r="R416" s="359">
        <f t="shared" ca="1" si="194"/>
        <v>0.29577545343665029</v>
      </c>
      <c r="S416" s="360">
        <f t="shared" ca="1" si="195"/>
        <v>10.721364228479841</v>
      </c>
      <c r="T416" s="357">
        <f t="shared" ca="1" si="175"/>
        <v>105.17658308138725</v>
      </c>
      <c r="U416" s="364">
        <f t="shared" ca="1" si="176"/>
        <v>0</v>
      </c>
      <c r="V416" s="359">
        <f t="shared" ca="1" si="177"/>
        <v>1.158891158875913</v>
      </c>
      <c r="W416" s="357">
        <f t="shared" ca="1" si="178"/>
        <v>157.99217734792097</v>
      </c>
      <c r="X416" s="343"/>
      <c r="Y416" s="367" t="str">
        <f t="shared" ca="1" si="196"/>
        <v/>
      </c>
      <c r="Z416" s="368" t="str">
        <f t="shared" ca="1" si="197"/>
        <v/>
      </c>
      <c r="AA416" s="369" t="str">
        <f t="shared" ca="1" si="198"/>
        <v/>
      </c>
      <c r="AB416" s="344"/>
      <c r="AC416" s="363" t="e">
        <f t="shared" ca="1" si="199"/>
        <v>#N/A</v>
      </c>
      <c r="AD416" s="376" t="e">
        <f t="shared" ca="1" si="200"/>
        <v>#N/A</v>
      </c>
      <c r="AE416" s="377">
        <f t="shared" ca="1" si="179"/>
        <v>554.62969337290951</v>
      </c>
      <c r="AF416" s="344"/>
      <c r="AG416" s="359">
        <f t="shared" ca="1" si="201"/>
        <v>30.850350720863471</v>
      </c>
      <c r="AH416" s="357">
        <f t="shared" ca="1" si="202"/>
        <v>40.369783917028826</v>
      </c>
    </row>
    <row r="417" spans="1:34" x14ac:dyDescent="0.25">
      <c r="A417" s="402">
        <f t="shared" ca="1" si="180"/>
        <v>0.01</v>
      </c>
      <c r="B417" s="357">
        <f t="shared" ca="1" si="181"/>
        <v>4.1299999999999564</v>
      </c>
      <c r="C417" s="342"/>
      <c r="D417" s="359">
        <f t="shared" ca="1" si="182"/>
        <v>9.587807198193854</v>
      </c>
      <c r="E417" s="360">
        <f t="shared" ca="1" si="183"/>
        <v>28.686227437771194</v>
      </c>
      <c r="F417" s="357">
        <f t="shared" ca="1" si="184"/>
        <v>30.246085556337285</v>
      </c>
      <c r="G417" s="359">
        <f t="shared" ca="1" si="185"/>
        <v>59.147130195990648</v>
      </c>
      <c r="H417" s="360">
        <f t="shared" ca="1" si="186"/>
        <v>237.38491663233799</v>
      </c>
      <c r="I417" s="357">
        <f t="shared" ca="1" si="187"/>
        <v>244.64255896095332</v>
      </c>
      <c r="J417" s="359">
        <f t="shared" ca="1" si="188"/>
        <v>128.54406463175678</v>
      </c>
      <c r="K417" s="360">
        <f t="shared" ca="1" si="189"/>
        <v>557.00210822786096</v>
      </c>
      <c r="L417" s="357">
        <f t="shared" ca="1" si="174"/>
        <v>571.6423052244603</v>
      </c>
      <c r="M417" s="359">
        <f t="shared" ca="1" si="190"/>
        <v>1.3266072008023322</v>
      </c>
      <c r="N417" s="357">
        <f t="shared" ca="1" si="191"/>
        <v>76.008993677637747</v>
      </c>
      <c r="O417" s="343"/>
      <c r="P417" s="363">
        <f t="shared" ca="1" si="192"/>
        <v>15</v>
      </c>
      <c r="Q417" s="357">
        <f t="shared" ca="1" si="193"/>
        <v>583.21666666669807</v>
      </c>
      <c r="R417" s="359">
        <f t="shared" ca="1" si="194"/>
        <v>0.29215204341628465</v>
      </c>
      <c r="S417" s="360">
        <f t="shared" ca="1" si="195"/>
        <v>10.718442708045679</v>
      </c>
      <c r="T417" s="357">
        <f t="shared" ca="1" si="175"/>
        <v>105.14792296592812</v>
      </c>
      <c r="U417" s="364">
        <f t="shared" ca="1" si="176"/>
        <v>0</v>
      </c>
      <c r="V417" s="359">
        <f t="shared" ca="1" si="177"/>
        <v>1.1586160419708251</v>
      </c>
      <c r="W417" s="357">
        <f t="shared" ca="1" si="178"/>
        <v>158.34476202567828</v>
      </c>
      <c r="X417" s="343"/>
      <c r="Y417" s="367" t="str">
        <f t="shared" ca="1" si="196"/>
        <v/>
      </c>
      <c r="Z417" s="368" t="str">
        <f t="shared" ca="1" si="197"/>
        <v/>
      </c>
      <c r="AA417" s="369" t="str">
        <f t="shared" ca="1" si="198"/>
        <v/>
      </c>
      <c r="AB417" s="344"/>
      <c r="AC417" s="363" t="e">
        <f t="shared" ca="1" si="199"/>
        <v>#N/A</v>
      </c>
      <c r="AD417" s="376" t="e">
        <f t="shared" ca="1" si="200"/>
        <v>#N/A</v>
      </c>
      <c r="AE417" s="377">
        <f t="shared" ca="1" si="179"/>
        <v>557.00210822786096</v>
      </c>
      <c r="AF417" s="344"/>
      <c r="AG417" s="359">
        <f t="shared" ca="1" si="201"/>
        <v>30.153023442608166</v>
      </c>
      <c r="AH417" s="357">
        <f t="shared" ca="1" si="202"/>
        <v>39.672226731182427</v>
      </c>
    </row>
    <row r="418" spans="1:34" x14ac:dyDescent="0.25">
      <c r="A418" s="402">
        <f t="shared" ca="1" si="180"/>
        <v>0.01</v>
      </c>
      <c r="B418" s="357">
        <f t="shared" ca="1" si="181"/>
        <v>4.1399999999999562</v>
      </c>
      <c r="C418" s="342"/>
      <c r="D418" s="359">
        <f t="shared" ca="1" si="182"/>
        <v>9.4229633145096745</v>
      </c>
      <c r="E418" s="360">
        <f t="shared" ca="1" si="183"/>
        <v>28.008730231413423</v>
      </c>
      <c r="F418" s="357">
        <f t="shared" ca="1" si="184"/>
        <v>29.551331726382273</v>
      </c>
      <c r="G418" s="359">
        <f t="shared" ca="1" si="185"/>
        <v>59.241359829135746</v>
      </c>
      <c r="H418" s="360">
        <f t="shared" ca="1" si="186"/>
        <v>237.66500393465213</v>
      </c>
      <c r="I418" s="357">
        <f t="shared" ca="1" si="187"/>
        <v>244.93712011384341</v>
      </c>
      <c r="J418" s="359">
        <f t="shared" ca="1" si="188"/>
        <v>129.13600708188241</v>
      </c>
      <c r="K418" s="360">
        <f t="shared" ca="1" si="189"/>
        <v>559.37735783069593</v>
      </c>
      <c r="L418" s="357">
        <f t="shared" ca="1" si="174"/>
        <v>574.08983336991992</v>
      </c>
      <c r="M418" s="359">
        <f t="shared" ca="1" si="190"/>
        <v>1.3265103694342986</v>
      </c>
      <c r="N418" s="357">
        <f t="shared" ca="1" si="191"/>
        <v>76.003445648924952</v>
      </c>
      <c r="O418" s="343"/>
      <c r="P418" s="363">
        <f t="shared" ca="1" si="192"/>
        <v>15</v>
      </c>
      <c r="Q418" s="357">
        <f t="shared" ca="1" si="193"/>
        <v>575.98333333336495</v>
      </c>
      <c r="R418" s="359">
        <f t="shared" ca="1" si="194"/>
        <v>0.28852863339591894</v>
      </c>
      <c r="S418" s="360">
        <f t="shared" ca="1" si="195"/>
        <v>10.71555742171172</v>
      </c>
      <c r="T418" s="357">
        <f t="shared" ca="1" si="175"/>
        <v>105.11961830699198</v>
      </c>
      <c r="U418" s="364">
        <f t="shared" ca="1" si="176"/>
        <v>0</v>
      </c>
      <c r="V418" s="359">
        <f t="shared" ca="1" si="177"/>
        <v>1.1583406599415709</v>
      </c>
      <c r="W418" s="357">
        <f t="shared" ca="1" si="178"/>
        <v>158.68857430761588</v>
      </c>
      <c r="X418" s="343"/>
      <c r="Y418" s="367" t="str">
        <f t="shared" ca="1" si="196"/>
        <v/>
      </c>
      <c r="Z418" s="368" t="str">
        <f t="shared" ca="1" si="197"/>
        <v/>
      </c>
      <c r="AA418" s="369" t="str">
        <f t="shared" ca="1" si="198"/>
        <v/>
      </c>
      <c r="AB418" s="344"/>
      <c r="AC418" s="363" t="e">
        <f t="shared" ca="1" si="199"/>
        <v>#N/A</v>
      </c>
      <c r="AD418" s="376" t="e">
        <f t="shared" ca="1" si="200"/>
        <v>#N/A</v>
      </c>
      <c r="AE418" s="377">
        <f t="shared" ca="1" si="179"/>
        <v>559.37735783069593</v>
      </c>
      <c r="AF418" s="344"/>
      <c r="AG418" s="359">
        <f t="shared" ca="1" si="201"/>
        <v>29.456000458641491</v>
      </c>
      <c r="AH418" s="357">
        <f t="shared" ca="1" si="202"/>
        <v>38.974973944096732</v>
      </c>
    </row>
    <row r="419" spans="1:34" x14ac:dyDescent="0.25">
      <c r="A419" s="402">
        <f t="shared" ca="1" si="180"/>
        <v>0.01</v>
      </c>
      <c r="B419" s="357">
        <f t="shared" ca="1" si="181"/>
        <v>4.1499999999999559</v>
      </c>
      <c r="C419" s="342"/>
      <c r="D419" s="359">
        <f t="shared" ca="1" si="182"/>
        <v>9.2580611820731917</v>
      </c>
      <c r="E419" s="360">
        <f t="shared" ca="1" si="183"/>
        <v>27.331570578576226</v>
      </c>
      <c r="F419" s="357">
        <f t="shared" ca="1" si="184"/>
        <v>28.856999967818972</v>
      </c>
      <c r="G419" s="359">
        <f t="shared" ca="1" si="185"/>
        <v>59.333940440956475</v>
      </c>
      <c r="H419" s="360">
        <f t="shared" ca="1" si="186"/>
        <v>237.9383196404379</v>
      </c>
      <c r="I419" s="357">
        <f t="shared" ca="1" si="187"/>
        <v>245.22471417368635</v>
      </c>
      <c r="J419" s="359">
        <f t="shared" ca="1" si="188"/>
        <v>129.72888358323289</v>
      </c>
      <c r="K419" s="360">
        <f t="shared" ca="1" si="189"/>
        <v>561.75537444857139</v>
      </c>
      <c r="L419" s="357">
        <f t="shared" ca="1" si="174"/>
        <v>576.54027088973294</v>
      </c>
      <c r="M419" s="359">
        <f t="shared" ca="1" si="190"/>
        <v>1.3264136140410103</v>
      </c>
      <c r="N419" s="357">
        <f t="shared" ca="1" si="191"/>
        <v>75.997901973244396</v>
      </c>
      <c r="O419" s="343"/>
      <c r="P419" s="363">
        <f t="shared" ca="1" si="192"/>
        <v>15</v>
      </c>
      <c r="Q419" s="357">
        <f t="shared" ca="1" si="193"/>
        <v>568.75000000003183</v>
      </c>
      <c r="R419" s="359">
        <f t="shared" ca="1" si="194"/>
        <v>0.28490522337555324</v>
      </c>
      <c r="S419" s="360">
        <f t="shared" ca="1" si="195"/>
        <v>10.712708369477964</v>
      </c>
      <c r="T419" s="357">
        <f t="shared" ca="1" si="175"/>
        <v>105.09166910457883</v>
      </c>
      <c r="U419" s="364">
        <f t="shared" ca="1" si="176"/>
        <v>0</v>
      </c>
      <c r="V419" s="359">
        <f t="shared" ca="1" si="177"/>
        <v>1.1580650208440237</v>
      </c>
      <c r="W419" s="357">
        <f t="shared" ca="1" si="178"/>
        <v>159.02359262885028</v>
      </c>
      <c r="X419" s="343"/>
      <c r="Y419" s="367" t="str">
        <f t="shared" ca="1" si="196"/>
        <v/>
      </c>
      <c r="Z419" s="368" t="str">
        <f t="shared" ca="1" si="197"/>
        <v/>
      </c>
      <c r="AA419" s="369" t="str">
        <f t="shared" ca="1" si="198"/>
        <v/>
      </c>
      <c r="AB419" s="344"/>
      <c r="AC419" s="363" t="e">
        <f t="shared" ca="1" si="199"/>
        <v>#N/A</v>
      </c>
      <c r="AD419" s="376" t="e">
        <f t="shared" ca="1" si="200"/>
        <v>#N/A</v>
      </c>
      <c r="AE419" s="377">
        <f t="shared" ca="1" si="179"/>
        <v>561.75537444857139</v>
      </c>
      <c r="AF419" s="344"/>
      <c r="AG419" s="359">
        <f t="shared" ca="1" si="201"/>
        <v>28.759291199434522</v>
      </c>
      <c r="AH419" s="357">
        <f t="shared" ca="1" si="202"/>
        <v>38.278034979533231</v>
      </c>
    </row>
    <row r="420" spans="1:34" x14ac:dyDescent="0.25">
      <c r="A420" s="402">
        <f t="shared" ca="1" si="180"/>
        <v>0.01</v>
      </c>
      <c r="B420" s="357">
        <f t="shared" ca="1" si="181"/>
        <v>4.1599999999999557</v>
      </c>
      <c r="C420" s="342"/>
      <c r="D420" s="359">
        <f t="shared" ca="1" si="182"/>
        <v>9.0931034196231106</v>
      </c>
      <c r="E420" s="360">
        <f t="shared" ca="1" si="183"/>
        <v>26.654757471060776</v>
      </c>
      <c r="F420" s="357">
        <f t="shared" ca="1" si="184"/>
        <v>28.16310752813034</v>
      </c>
      <c r="G420" s="359">
        <f t="shared" ca="1" si="185"/>
        <v>59.424871475152706</v>
      </c>
      <c r="H420" s="360">
        <f t="shared" ca="1" si="186"/>
        <v>238.20486721514851</v>
      </c>
      <c r="I420" s="357">
        <f t="shared" ca="1" si="187"/>
        <v>245.50534437120703</v>
      </c>
      <c r="J420" s="359">
        <f t="shared" ca="1" si="188"/>
        <v>130.32267764281343</v>
      </c>
      <c r="K420" s="360">
        <f t="shared" ca="1" si="189"/>
        <v>564.13609038284937</v>
      </c>
      <c r="L420" s="357">
        <f t="shared" ca="1" si="174"/>
        <v>578.9935481336895</v>
      </c>
      <c r="M420" s="359">
        <f t="shared" ca="1" si="190"/>
        <v>1.3263169317324783</v>
      </c>
      <c r="N420" s="357">
        <f t="shared" ca="1" si="191"/>
        <v>75.992362485011938</v>
      </c>
      <c r="O420" s="343"/>
      <c r="P420" s="363">
        <f t="shared" ca="1" si="192"/>
        <v>15</v>
      </c>
      <c r="Q420" s="357">
        <f t="shared" ca="1" si="193"/>
        <v>561.51666666669871</v>
      </c>
      <c r="R420" s="359">
        <f t="shared" ca="1" si="194"/>
        <v>0.28128181335518754</v>
      </c>
      <c r="S420" s="360">
        <f t="shared" ca="1" si="195"/>
        <v>10.709895551344411</v>
      </c>
      <c r="T420" s="357">
        <f t="shared" ca="1" si="175"/>
        <v>105.06407535868868</v>
      </c>
      <c r="U420" s="364">
        <f t="shared" ca="1" si="176"/>
        <v>0</v>
      </c>
      <c r="V420" s="359">
        <f t="shared" ca="1" si="177"/>
        <v>1.1577891327229468</v>
      </c>
      <c r="W420" s="357">
        <f t="shared" ca="1" si="178"/>
        <v>159.34979638261873</v>
      </c>
      <c r="X420" s="343"/>
      <c r="Y420" s="367" t="str">
        <f t="shared" ca="1" si="196"/>
        <v/>
      </c>
      <c r="Z420" s="368" t="str">
        <f t="shared" ca="1" si="197"/>
        <v/>
      </c>
      <c r="AA420" s="369" t="str">
        <f t="shared" ca="1" si="198"/>
        <v/>
      </c>
      <c r="AB420" s="344"/>
      <c r="AC420" s="363" t="e">
        <f t="shared" ca="1" si="199"/>
        <v>#N/A</v>
      </c>
      <c r="AD420" s="376" t="e">
        <f t="shared" ca="1" si="200"/>
        <v>#N/A</v>
      </c>
      <c r="AE420" s="377">
        <f t="shared" ca="1" si="179"/>
        <v>564.13609038284937</v>
      </c>
      <c r="AF420" s="344"/>
      <c r="AG420" s="359">
        <f t="shared" ca="1" si="201"/>
        <v>28.062905009390043</v>
      </c>
      <c r="AH420" s="357">
        <f t="shared" ca="1" si="202"/>
        <v>37.581419175215352</v>
      </c>
    </row>
    <row r="421" spans="1:34" x14ac:dyDescent="0.25">
      <c r="A421" s="402">
        <f t="shared" ca="1" si="180"/>
        <v>0.01</v>
      </c>
      <c r="B421" s="357">
        <f t="shared" ca="1" si="181"/>
        <v>4.1699999999999555</v>
      </c>
      <c r="C421" s="342"/>
      <c r="D421" s="359">
        <f t="shared" ca="1" si="182"/>
        <v>8.9280926199149793</v>
      </c>
      <c r="E421" s="360">
        <f t="shared" ca="1" si="183"/>
        <v>25.978299818210566</v>
      </c>
      <c r="F421" s="357">
        <f t="shared" ca="1" si="184"/>
        <v>27.469672354700911</v>
      </c>
      <c r="G421" s="359">
        <f t="shared" ca="1" si="185"/>
        <v>59.514152401351858</v>
      </c>
      <c r="H421" s="360">
        <f t="shared" ca="1" si="186"/>
        <v>238.46465021333063</v>
      </c>
      <c r="I421" s="357">
        <f t="shared" ca="1" si="187"/>
        <v>245.77901402971219</v>
      </c>
      <c r="J421" s="359">
        <f t="shared" ca="1" si="188"/>
        <v>130.91737276219595</v>
      </c>
      <c r="K421" s="360">
        <f t="shared" ca="1" si="189"/>
        <v>566.51943796999171</v>
      </c>
      <c r="L421" s="357">
        <f t="shared" ca="1" si="174"/>
        <v>581.44959548424401</v>
      </c>
      <c r="M421" s="359">
        <f t="shared" ca="1" si="190"/>
        <v>1.3262203196350106</v>
      </c>
      <c r="N421" s="357">
        <f t="shared" ca="1" si="191"/>
        <v>75.986827019577134</v>
      </c>
      <c r="O421" s="343"/>
      <c r="P421" s="363">
        <f t="shared" ca="1" si="192"/>
        <v>15</v>
      </c>
      <c r="Q421" s="357">
        <f t="shared" ca="1" si="193"/>
        <v>554.28333333336559</v>
      </c>
      <c r="R421" s="359">
        <f t="shared" ca="1" si="194"/>
        <v>0.27765840333482183</v>
      </c>
      <c r="S421" s="360">
        <f t="shared" ca="1" si="195"/>
        <v>10.707118967311063</v>
      </c>
      <c r="T421" s="357">
        <f t="shared" ca="1" si="175"/>
        <v>105.03683706932154</v>
      </c>
      <c r="U421" s="364">
        <f t="shared" ca="1" si="176"/>
        <v>0</v>
      </c>
      <c r="V421" s="359">
        <f t="shared" ca="1" si="177"/>
        <v>1.1575130036118799</v>
      </c>
      <c r="W421" s="357">
        <f t="shared" ca="1" si="178"/>
        <v>159.66716591702618</v>
      </c>
      <c r="X421" s="343"/>
      <c r="Y421" s="367" t="str">
        <f t="shared" ca="1" si="196"/>
        <v/>
      </c>
      <c r="Z421" s="368" t="str">
        <f t="shared" ca="1" si="197"/>
        <v/>
      </c>
      <c r="AA421" s="369" t="str">
        <f t="shared" ca="1" si="198"/>
        <v/>
      </c>
      <c r="AB421" s="344"/>
      <c r="AC421" s="363" t="e">
        <f t="shared" ca="1" si="199"/>
        <v>#N/A</v>
      </c>
      <c r="AD421" s="376" t="e">
        <f t="shared" ca="1" si="200"/>
        <v>#N/A</v>
      </c>
      <c r="AE421" s="377">
        <f t="shared" ca="1" si="179"/>
        <v>566.51943796999171</v>
      </c>
      <c r="AF421" s="344"/>
      <c r="AG421" s="359">
        <f t="shared" ca="1" si="201"/>
        <v>27.366851146711113</v>
      </c>
      <c r="AH421" s="357">
        <f t="shared" ca="1" si="202"/>
        <v>36.885135782695869</v>
      </c>
    </row>
    <row r="422" spans="1:34" x14ac:dyDescent="0.25">
      <c r="A422" s="402">
        <f t="shared" ca="1" si="180"/>
        <v>0.01</v>
      </c>
      <c r="B422" s="357">
        <f t="shared" ca="1" si="181"/>
        <v>4.1799999999999553</v>
      </c>
      <c r="C422" s="342"/>
      <c r="D422" s="359">
        <f t="shared" ca="1" si="182"/>
        <v>8.7630313497299017</v>
      </c>
      <c r="E422" s="360">
        <f t="shared" ca="1" si="183"/>
        <v>25.302206446786684</v>
      </c>
      <c r="F422" s="357">
        <f t="shared" ca="1" si="184"/>
        <v>26.776713194717583</v>
      </c>
      <c r="G422" s="359">
        <f t="shared" ca="1" si="185"/>
        <v>59.601782714849158</v>
      </c>
      <c r="H422" s="360">
        <f t="shared" ca="1" si="186"/>
        <v>238.7176722777985</v>
      </c>
      <c r="I422" s="357">
        <f t="shared" ca="1" si="187"/>
        <v>246.04572656422729</v>
      </c>
      <c r="J422" s="359">
        <f t="shared" ca="1" si="188"/>
        <v>131.51295243777696</v>
      </c>
      <c r="K422" s="360">
        <f t="shared" ca="1" si="189"/>
        <v>568.90534958244734</v>
      </c>
      <c r="L422" s="357">
        <f t="shared" ca="1" si="174"/>
        <v>583.90834335743784</v>
      </c>
      <c r="M422" s="359">
        <f t="shared" ca="1" si="190"/>
        <v>1.3261237748906891</v>
      </c>
      <c r="N422" s="357">
        <f t="shared" ca="1" si="191"/>
        <v>75.981295413193337</v>
      </c>
      <c r="O422" s="343"/>
      <c r="P422" s="363">
        <f t="shared" ca="1" si="192"/>
        <v>15</v>
      </c>
      <c r="Q422" s="357">
        <f t="shared" ca="1" si="193"/>
        <v>547.05000000003247</v>
      </c>
      <c r="R422" s="359">
        <f t="shared" ca="1" si="194"/>
        <v>0.27403499331445613</v>
      </c>
      <c r="S422" s="360">
        <f t="shared" ca="1" si="195"/>
        <v>10.704378617377918</v>
      </c>
      <c r="T422" s="357">
        <f t="shared" ca="1" si="175"/>
        <v>105.00995423647738</v>
      </c>
      <c r="U422" s="364">
        <f t="shared" ca="1" si="176"/>
        <v>0</v>
      </c>
      <c r="V422" s="359">
        <f t="shared" ca="1" si="177"/>
        <v>1.1572366415330269</v>
      </c>
      <c r="W422" s="357">
        <f t="shared" ca="1" si="178"/>
        <v>159.97568253172889</v>
      </c>
      <c r="X422" s="343"/>
      <c r="Y422" s="367" t="str">
        <f t="shared" ca="1" si="196"/>
        <v/>
      </c>
      <c r="Z422" s="368" t="str">
        <f t="shared" ca="1" si="197"/>
        <v/>
      </c>
      <c r="AA422" s="369" t="str">
        <f t="shared" ca="1" si="198"/>
        <v/>
      </c>
      <c r="AB422" s="344"/>
      <c r="AC422" s="363" t="e">
        <f t="shared" ca="1" si="199"/>
        <v>#N/A</v>
      </c>
      <c r="AD422" s="376" t="e">
        <f t="shared" ca="1" si="200"/>
        <v>#N/A</v>
      </c>
      <c r="AE422" s="377">
        <f t="shared" ca="1" si="179"/>
        <v>568.90534958244734</v>
      </c>
      <c r="AF422" s="344"/>
      <c r="AG422" s="359">
        <f t="shared" ca="1" si="201"/>
        <v>26.671138783279751</v>
      </c>
      <c r="AH422" s="357">
        <f t="shared" ca="1" si="202"/>
        <v>36.189193967234438</v>
      </c>
    </row>
    <row r="423" spans="1:34" x14ac:dyDescent="0.25">
      <c r="A423" s="402">
        <f t="shared" ca="1" si="180"/>
        <v>0.01</v>
      </c>
      <c r="B423" s="357">
        <f t="shared" ca="1" si="181"/>
        <v>4.1899999999999551</v>
      </c>
      <c r="C423" s="342"/>
      <c r="D423" s="359">
        <f t="shared" ca="1" si="182"/>
        <v>8.5979221498837752</v>
      </c>
      <c r="E423" s="360">
        <f t="shared" ca="1" si="183"/>
        <v>24.626486100853263</v>
      </c>
      <c r="F423" s="357">
        <f t="shared" ca="1" si="184"/>
        <v>26.08424971071587</v>
      </c>
      <c r="G423" s="359">
        <f t="shared" ca="1" si="185"/>
        <v>59.687761936347997</v>
      </c>
      <c r="H423" s="360">
        <f t="shared" ca="1" si="186"/>
        <v>238.96393713880704</v>
      </c>
      <c r="I423" s="357">
        <f t="shared" ca="1" si="187"/>
        <v>246.30548548063211</v>
      </c>
      <c r="J423" s="359">
        <f t="shared" ca="1" si="188"/>
        <v>132.10940016103294</v>
      </c>
      <c r="K423" s="360">
        <f t="shared" ca="1" si="189"/>
        <v>571.29375762953032</v>
      </c>
      <c r="L423" s="357">
        <f t="shared" ca="1" si="174"/>
        <v>586.36972220381267</v>
      </c>
      <c r="M423" s="359">
        <f t="shared" ca="1" si="190"/>
        <v>1.326027294656855</v>
      </c>
      <c r="N423" s="357">
        <f t="shared" ca="1" si="191"/>
        <v>75.975767502988205</v>
      </c>
      <c r="O423" s="343"/>
      <c r="P423" s="363">
        <f t="shared" ca="1" si="192"/>
        <v>15</v>
      </c>
      <c r="Q423" s="357">
        <f t="shared" ca="1" si="193"/>
        <v>539.81666666669935</v>
      </c>
      <c r="R423" s="359">
        <f t="shared" ca="1" si="194"/>
        <v>0.27041158329409043</v>
      </c>
      <c r="S423" s="360">
        <f t="shared" ca="1" si="195"/>
        <v>10.701674501544977</v>
      </c>
      <c r="T423" s="357">
        <f t="shared" ca="1" si="175"/>
        <v>104.98342686015623</v>
      </c>
      <c r="U423" s="364">
        <f t="shared" ca="1" si="176"/>
        <v>0</v>
      </c>
      <c r="V423" s="359">
        <f t="shared" ca="1" si="177"/>
        <v>1.1569600544971443</v>
      </c>
      <c r="W423" s="357">
        <f t="shared" ca="1" si="178"/>
        <v>160.2753284745562</v>
      </c>
      <c r="X423" s="343"/>
      <c r="Y423" s="367" t="str">
        <f t="shared" ca="1" si="196"/>
        <v/>
      </c>
      <c r="Z423" s="368" t="str">
        <f t="shared" ca="1" si="197"/>
        <v/>
      </c>
      <c r="AA423" s="369" t="str">
        <f t="shared" ca="1" si="198"/>
        <v/>
      </c>
      <c r="AB423" s="344"/>
      <c r="AC423" s="363" t="e">
        <f t="shared" ca="1" si="199"/>
        <v>#N/A</v>
      </c>
      <c r="AD423" s="376" t="e">
        <f t="shared" ca="1" si="200"/>
        <v>#N/A</v>
      </c>
      <c r="AE423" s="377">
        <f t="shared" ca="1" si="179"/>
        <v>571.29375762953032</v>
      </c>
      <c r="AF423" s="344"/>
      <c r="AG423" s="359">
        <f t="shared" ca="1" si="201"/>
        <v>25.975777004545769</v>
      </c>
      <c r="AH423" s="357">
        <f t="shared" ca="1" si="202"/>
        <v>35.493602807685249</v>
      </c>
    </row>
    <row r="424" spans="1:34" x14ac:dyDescent="0.25">
      <c r="A424" s="402">
        <f t="shared" ca="1" si="180"/>
        <v>0.01</v>
      </c>
      <c r="B424" s="357">
        <f t="shared" ca="1" si="181"/>
        <v>4.1999999999999549</v>
      </c>
      <c r="C424" s="342"/>
      <c r="D424" s="359">
        <f t="shared" ca="1" si="182"/>
        <v>8.4009576702303939</v>
      </c>
      <c r="E424" s="360">
        <f t="shared" ca="1" si="183"/>
        <v>23.823794524840345</v>
      </c>
      <c r="F424" s="357">
        <f t="shared" ca="1" si="184"/>
        <v>25.261616641434799</v>
      </c>
      <c r="G424" s="359">
        <f t="shared" ca="1" si="185"/>
        <v>59.771771513050304</v>
      </c>
      <c r="H424" s="360">
        <f t="shared" ca="1" si="186"/>
        <v>239.20217508405545</v>
      </c>
      <c r="I424" s="357">
        <f t="shared" ca="1" si="187"/>
        <v>246.55698171974649</v>
      </c>
      <c r="J424" s="359">
        <f t="shared" ca="1" si="188"/>
        <v>132.70669782827994</v>
      </c>
      <c r="K424" s="360">
        <f t="shared" ca="1" si="189"/>
        <v>573.6845881906446</v>
      </c>
      <c r="L424" s="357">
        <f t="shared" ca="1" si="174"/>
        <v>588.83365594703901</v>
      </c>
      <c r="M424" s="359">
        <f t="shared" ca="1" si="190"/>
        <v>1.3259308755922721</v>
      </c>
      <c r="N424" s="357">
        <f t="shared" ca="1" si="191"/>
        <v>75.97024309752301</v>
      </c>
      <c r="O424" s="343"/>
      <c r="P424" s="363">
        <f t="shared" ca="1" si="192"/>
        <v>16</v>
      </c>
      <c r="Q424" s="357">
        <f t="shared" ca="1" si="193"/>
        <v>531.17916666671226</v>
      </c>
      <c r="R424" s="359">
        <f t="shared" ca="1" si="194"/>
        <v>0.26608478089074533</v>
      </c>
      <c r="S424" s="360">
        <f t="shared" ca="1" si="195"/>
        <v>10.699013653736069</v>
      </c>
      <c r="T424" s="357">
        <f t="shared" ca="1" si="175"/>
        <v>104.95732394315084</v>
      </c>
      <c r="U424" s="364">
        <f t="shared" ca="1" si="176"/>
        <v>0</v>
      </c>
      <c r="V424" s="359">
        <f t="shared" ca="1" si="177"/>
        <v>1.1566832512405749</v>
      </c>
      <c r="W424" s="357">
        <f t="shared" ca="1" si="178"/>
        <v>160.5643773650107</v>
      </c>
      <c r="X424" s="343"/>
      <c r="Y424" s="367" t="str">
        <f t="shared" ca="1" si="196"/>
        <v/>
      </c>
      <c r="Z424" s="368" t="str">
        <f t="shared" ca="1" si="197"/>
        <v/>
      </c>
      <c r="AA424" s="369" t="str">
        <f t="shared" ca="1" si="198"/>
        <v/>
      </c>
      <c r="AB424" s="344"/>
      <c r="AC424" s="363" t="e">
        <f t="shared" ca="1" si="199"/>
        <v>#N/A</v>
      </c>
      <c r="AD424" s="376" t="e">
        <f t="shared" ca="1" si="200"/>
        <v>#N/A</v>
      </c>
      <c r="AE424" s="377">
        <f t="shared" ca="1" si="179"/>
        <v>573.6845881906446</v>
      </c>
      <c r="AF424" s="344"/>
      <c r="AG424" s="359">
        <f t="shared" ca="1" si="201"/>
        <v>25.149509303912541</v>
      </c>
      <c r="AH424" s="357">
        <f t="shared" ca="1" si="202"/>
        <v>34.667105790881699</v>
      </c>
    </row>
    <row r="425" spans="1:34" x14ac:dyDescent="0.25">
      <c r="A425" s="402">
        <f t="shared" ca="1" si="180"/>
        <v>0.01</v>
      </c>
      <c r="B425" s="357">
        <f t="shared" ca="1" si="181"/>
        <v>4.2099999999999547</v>
      </c>
      <c r="C425" s="342"/>
      <c r="D425" s="359">
        <f t="shared" ca="1" si="182"/>
        <v>8.1721139217474104</v>
      </c>
      <c r="E425" s="360">
        <f t="shared" ca="1" si="183"/>
        <v>22.894190885322359</v>
      </c>
      <c r="F425" s="357">
        <f t="shared" ca="1" si="184"/>
        <v>24.308998791468053</v>
      </c>
      <c r="G425" s="359">
        <f t="shared" ca="1" si="185"/>
        <v>59.853492652267775</v>
      </c>
      <c r="H425" s="360">
        <f t="shared" ca="1" si="186"/>
        <v>239.43111699290867</v>
      </c>
      <c r="I425" s="357">
        <f t="shared" ca="1" si="187"/>
        <v>246.79890673815189</v>
      </c>
      <c r="J425" s="359">
        <f t="shared" ca="1" si="188"/>
        <v>133.30482414910654</v>
      </c>
      <c r="K425" s="360">
        <f t="shared" ca="1" si="189"/>
        <v>576.07775465102941</v>
      </c>
      <c r="L425" s="357">
        <f t="shared" ca="1" si="174"/>
        <v>591.30005542465142</v>
      </c>
      <c r="M425" s="359">
        <f t="shared" ca="1" si="190"/>
        <v>1.32583451385986</v>
      </c>
      <c r="N425" s="357">
        <f t="shared" ca="1" si="191"/>
        <v>75.964721976949221</v>
      </c>
      <c r="O425" s="343"/>
      <c r="P425" s="363">
        <f t="shared" ca="1" si="192"/>
        <v>16</v>
      </c>
      <c r="Q425" s="357">
        <f t="shared" ca="1" si="193"/>
        <v>521.13750000004575</v>
      </c>
      <c r="R425" s="359">
        <f t="shared" ca="1" si="194"/>
        <v>0.26105458610440807</v>
      </c>
      <c r="S425" s="360">
        <f t="shared" ca="1" si="195"/>
        <v>10.696403107875025</v>
      </c>
      <c r="T425" s="357">
        <f t="shared" ca="1" si="175"/>
        <v>104.931714488254</v>
      </c>
      <c r="U425" s="364">
        <f t="shared" ca="1" si="176"/>
        <v>0</v>
      </c>
      <c r="V425" s="359">
        <f t="shared" ca="1" si="177"/>
        <v>1.1564062419609593</v>
      </c>
      <c r="W425" s="357">
        <f t="shared" ca="1" si="178"/>
        <v>160.84109940019857</v>
      </c>
      <c r="X425" s="343"/>
      <c r="Y425" s="367" t="str">
        <f t="shared" ca="1" si="196"/>
        <v/>
      </c>
      <c r="Z425" s="368" t="str">
        <f t="shared" ca="1" si="197"/>
        <v/>
      </c>
      <c r="AA425" s="369" t="str">
        <f t="shared" ca="1" si="198"/>
        <v/>
      </c>
      <c r="AB425" s="344"/>
      <c r="AC425" s="363" t="e">
        <f t="shared" ca="1" si="199"/>
        <v>#N/A</v>
      </c>
      <c r="AD425" s="376" t="e">
        <f t="shared" ca="1" si="200"/>
        <v>#N/A</v>
      </c>
      <c r="AE425" s="377">
        <f t="shared" ca="1" si="179"/>
        <v>576.07775465102941</v>
      </c>
      <c r="AF425" s="344"/>
      <c r="AG425" s="359">
        <f t="shared" ca="1" si="201"/>
        <v>24.192387256946432</v>
      </c>
      <c r="AH425" s="357">
        <f t="shared" ca="1" si="202"/>
        <v>33.709754484623886</v>
      </c>
    </row>
    <row r="426" spans="1:34" x14ac:dyDescent="0.25">
      <c r="A426" s="402">
        <f t="shared" ca="1" si="180"/>
        <v>0.01</v>
      </c>
      <c r="B426" s="357">
        <f t="shared" ca="1" si="181"/>
        <v>4.2199999999999545</v>
      </c>
      <c r="C426" s="342"/>
      <c r="D426" s="359">
        <f t="shared" ca="1" si="182"/>
        <v>7.9432180031306112</v>
      </c>
      <c r="E426" s="360">
        <f t="shared" ca="1" si="183"/>
        <v>21.965147526594421</v>
      </c>
      <c r="F426" s="357">
        <f t="shared" ca="1" si="184"/>
        <v>23.357277626262768</v>
      </c>
      <c r="G426" s="359">
        <f t="shared" ca="1" si="185"/>
        <v>59.932924832299079</v>
      </c>
      <c r="H426" s="360">
        <f t="shared" ca="1" si="186"/>
        <v>239.65076846817462</v>
      </c>
      <c r="I426" s="357">
        <f t="shared" ca="1" si="187"/>
        <v>247.03126584774782</v>
      </c>
      <c r="J426" s="359">
        <f t="shared" ca="1" si="188"/>
        <v>133.90375623652938</v>
      </c>
      <c r="K426" s="360">
        <f t="shared" ca="1" si="189"/>
        <v>578.47316407833478</v>
      </c>
      <c r="L426" s="357">
        <f t="shared" ca="1" si="174"/>
        <v>593.76882495888242</v>
      </c>
      <c r="M426" s="359">
        <f t="shared" ca="1" si="190"/>
        <v>1.325738205641066</v>
      </c>
      <c r="N426" s="357">
        <f t="shared" ca="1" si="191"/>
        <v>75.959203922479915</v>
      </c>
      <c r="O426" s="343"/>
      <c r="P426" s="363">
        <f t="shared" ca="1" si="192"/>
        <v>16</v>
      </c>
      <c r="Q426" s="357">
        <f t="shared" ca="1" si="193"/>
        <v>511.09583333337923</v>
      </c>
      <c r="R426" s="359">
        <f t="shared" ca="1" si="194"/>
        <v>0.25602439131807087</v>
      </c>
      <c r="S426" s="360">
        <f t="shared" ca="1" si="195"/>
        <v>10.693842863961844</v>
      </c>
      <c r="T426" s="357">
        <f t="shared" ca="1" si="175"/>
        <v>104.9065984954657</v>
      </c>
      <c r="U426" s="364">
        <f t="shared" ca="1" si="176"/>
        <v>0</v>
      </c>
      <c r="V426" s="359">
        <f t="shared" ca="1" si="177"/>
        <v>1.1561290375776818</v>
      </c>
      <c r="W426" s="357">
        <f t="shared" ca="1" si="178"/>
        <v>161.10547490898603</v>
      </c>
      <c r="X426" s="343"/>
      <c r="Y426" s="367" t="str">
        <f t="shared" ca="1" si="196"/>
        <v/>
      </c>
      <c r="Z426" s="368" t="str">
        <f t="shared" ca="1" si="197"/>
        <v/>
      </c>
      <c r="AA426" s="369" t="str">
        <f t="shared" ca="1" si="198"/>
        <v/>
      </c>
      <c r="AB426" s="344"/>
      <c r="AC426" s="363" t="e">
        <f t="shared" ca="1" si="199"/>
        <v>#N/A</v>
      </c>
      <c r="AD426" s="376" t="e">
        <f t="shared" ca="1" si="200"/>
        <v>#N/A</v>
      </c>
      <c r="AE426" s="377">
        <f t="shared" ca="1" si="179"/>
        <v>578.47316407833478</v>
      </c>
      <c r="AF426" s="344"/>
      <c r="AG426" s="359">
        <f t="shared" ca="1" si="201"/>
        <v>23.235796395469919</v>
      </c>
      <c r="AH426" s="357">
        <f t="shared" ca="1" si="202"/>
        <v>32.752934411775961</v>
      </c>
    </row>
    <row r="427" spans="1:34" x14ac:dyDescent="0.25">
      <c r="A427" s="402">
        <f t="shared" ca="1" si="180"/>
        <v>0.01</v>
      </c>
      <c r="B427" s="357">
        <f t="shared" ca="1" si="181"/>
        <v>4.2299999999999542</v>
      </c>
      <c r="C427" s="342"/>
      <c r="D427" s="359">
        <f t="shared" ca="1" si="182"/>
        <v>7.7142741629216953</v>
      </c>
      <c r="E427" s="360">
        <f t="shared" ca="1" si="183"/>
        <v>21.036679625454376</v>
      </c>
      <c r="F427" s="357">
        <f t="shared" ca="1" si="184"/>
        <v>22.406515024089053</v>
      </c>
      <c r="G427" s="359">
        <f t="shared" ca="1" si="185"/>
        <v>60.010067573928296</v>
      </c>
      <c r="H427" s="360">
        <f t="shared" ca="1" si="186"/>
        <v>239.86113526442915</v>
      </c>
      <c r="I427" s="357">
        <f t="shared" ca="1" si="187"/>
        <v>247.25406451779153</v>
      </c>
      <c r="J427" s="359">
        <f t="shared" ca="1" si="188"/>
        <v>134.5034711985605</v>
      </c>
      <c r="K427" s="360">
        <f t="shared" ca="1" si="189"/>
        <v>580.87072359699778</v>
      </c>
      <c r="L427" s="357">
        <f t="shared" ca="1" si="174"/>
        <v>596.23986892572168</v>
      </c>
      <c r="M427" s="359">
        <f t="shared" ca="1" si="190"/>
        <v>1.325641947134973</v>
      </c>
      <c r="N427" s="357">
        <f t="shared" ca="1" si="191"/>
        <v>75.953688716338547</v>
      </c>
      <c r="O427" s="343"/>
      <c r="P427" s="363">
        <f t="shared" ca="1" si="192"/>
        <v>16</v>
      </c>
      <c r="Q427" s="357">
        <f t="shared" ca="1" si="193"/>
        <v>501.05416666671272</v>
      </c>
      <c r="R427" s="359">
        <f t="shared" ca="1" si="194"/>
        <v>0.2509941965317336</v>
      </c>
      <c r="S427" s="360">
        <f t="shared" ca="1" si="195"/>
        <v>10.691332921996526</v>
      </c>
      <c r="T427" s="357">
        <f t="shared" ca="1" si="175"/>
        <v>104.88197596478592</v>
      </c>
      <c r="U427" s="364">
        <f t="shared" ca="1" si="176"/>
        <v>0</v>
      </c>
      <c r="V427" s="359">
        <f t="shared" ca="1" si="177"/>
        <v>1.155851648993599</v>
      </c>
      <c r="W427" s="357">
        <f t="shared" ca="1" si="178"/>
        <v>161.35748595155502</v>
      </c>
      <c r="X427" s="343"/>
      <c r="Y427" s="367" t="str">
        <f t="shared" ca="1" si="196"/>
        <v/>
      </c>
      <c r="Z427" s="368" t="str">
        <f t="shared" ca="1" si="197"/>
        <v/>
      </c>
      <c r="AA427" s="369" t="str">
        <f t="shared" ca="1" si="198"/>
        <v/>
      </c>
      <c r="AB427" s="344"/>
      <c r="AC427" s="363" t="e">
        <f t="shared" ca="1" si="199"/>
        <v>#N/A</v>
      </c>
      <c r="AD427" s="376" t="e">
        <f t="shared" ca="1" si="200"/>
        <v>#N/A</v>
      </c>
      <c r="AE427" s="377">
        <f t="shared" ca="1" si="179"/>
        <v>580.87072359699778</v>
      </c>
      <c r="AF427" s="344"/>
      <c r="AG427" s="359">
        <f t="shared" ca="1" si="201"/>
        <v>22.279752455275066</v>
      </c>
      <c r="AH427" s="357">
        <f t="shared" ca="1" si="202"/>
        <v>31.796661299201581</v>
      </c>
    </row>
    <row r="428" spans="1:34" x14ac:dyDescent="0.25">
      <c r="A428" s="402">
        <f t="shared" ca="1" si="180"/>
        <v>0.01</v>
      </c>
      <c r="B428" s="357">
        <f t="shared" ca="1" si="181"/>
        <v>4.239999999999954</v>
      </c>
      <c r="C428" s="342"/>
      <c r="D428" s="359">
        <f t="shared" ca="1" si="182"/>
        <v>7.4852866012001442</v>
      </c>
      <c r="E428" s="360">
        <f t="shared" ca="1" si="183"/>
        <v>20.108802203174349</v>
      </c>
      <c r="F428" s="357">
        <f t="shared" ca="1" si="184"/>
        <v>21.456780782505469</v>
      </c>
      <c r="G428" s="359">
        <f t="shared" ca="1" si="185"/>
        <v>60.084920439940298</v>
      </c>
      <c r="H428" s="360">
        <f t="shared" ca="1" si="186"/>
        <v>240.06222328646089</v>
      </c>
      <c r="I428" s="357">
        <f t="shared" ca="1" si="187"/>
        <v>247.46730837327294</v>
      </c>
      <c r="J428" s="359">
        <f t="shared" ca="1" si="188"/>
        <v>135.10394613862985</v>
      </c>
      <c r="K428" s="360">
        <f t="shared" ca="1" si="189"/>
        <v>583.27034038975228</v>
      </c>
      <c r="L428" s="357">
        <f t="shared" ca="1" si="174"/>
        <v>598.71309175648332</v>
      </c>
      <c r="M428" s="359">
        <f t="shared" ca="1" si="190"/>
        <v>1.3255457345574149</v>
      </c>
      <c r="N428" s="357">
        <f t="shared" ca="1" si="191"/>
        <v>75.948176141708387</v>
      </c>
      <c r="O428" s="343"/>
      <c r="P428" s="363">
        <f t="shared" ca="1" si="192"/>
        <v>16</v>
      </c>
      <c r="Q428" s="357">
        <f t="shared" ca="1" si="193"/>
        <v>491.0125000000462</v>
      </c>
      <c r="R428" s="359">
        <f t="shared" ca="1" si="194"/>
        <v>0.24596400174539634</v>
      </c>
      <c r="S428" s="360">
        <f t="shared" ca="1" si="195"/>
        <v>10.688873281979072</v>
      </c>
      <c r="T428" s="357">
        <f t="shared" ca="1" si="175"/>
        <v>104.85784689621471</v>
      </c>
      <c r="U428" s="364">
        <f t="shared" ca="1" si="176"/>
        <v>0</v>
      </c>
      <c r="V428" s="359">
        <f t="shared" ca="1" si="177"/>
        <v>1.1555740870948579</v>
      </c>
      <c r="W428" s="357">
        <f t="shared" ca="1" si="178"/>
        <v>161.59711631231974</v>
      </c>
      <c r="X428" s="343"/>
      <c r="Y428" s="367" t="str">
        <f t="shared" ca="1" si="196"/>
        <v/>
      </c>
      <c r="Z428" s="368" t="str">
        <f t="shared" ca="1" si="197"/>
        <v/>
      </c>
      <c r="AA428" s="369" t="str">
        <f t="shared" ca="1" si="198"/>
        <v/>
      </c>
      <c r="AB428" s="344"/>
      <c r="AC428" s="363" t="e">
        <f t="shared" ca="1" si="199"/>
        <v>#N/A</v>
      </c>
      <c r="AD428" s="376" t="e">
        <f t="shared" ca="1" si="200"/>
        <v>#N/A</v>
      </c>
      <c r="AE428" s="377">
        <f t="shared" ca="1" si="179"/>
        <v>583.27034038975228</v>
      </c>
      <c r="AF428" s="344"/>
      <c r="AG428" s="359">
        <f t="shared" ca="1" si="201"/>
        <v>21.324271009628248</v>
      </c>
      <c r="AH428" s="357">
        <f t="shared" ca="1" si="202"/>
        <v>30.840950711266615</v>
      </c>
    </row>
    <row r="429" spans="1:34" x14ac:dyDescent="0.25">
      <c r="A429" s="402">
        <f t="shared" ca="1" si="180"/>
        <v>0.01</v>
      </c>
      <c r="B429" s="357">
        <f t="shared" ca="1" si="181"/>
        <v>4.2499999999999538</v>
      </c>
      <c r="C429" s="342"/>
      <c r="D429" s="359">
        <f t="shared" ca="1" si="182"/>
        <v>7.2562594695655394</v>
      </c>
      <c r="E429" s="360">
        <f t="shared" ca="1" si="183"/>
        <v>19.181530125242674</v>
      </c>
      <c r="F429" s="357">
        <f t="shared" ca="1" si="184"/>
        <v>20.508154461951271</v>
      </c>
      <c r="G429" s="359">
        <f t="shared" ca="1" si="185"/>
        <v>60.157483034635952</v>
      </c>
      <c r="H429" s="360">
        <f t="shared" ca="1" si="186"/>
        <v>240.25403858771332</v>
      </c>
      <c r="I429" s="357">
        <f t="shared" ca="1" si="187"/>
        <v>247.67100319328654</v>
      </c>
      <c r="J429" s="359">
        <f t="shared" ca="1" si="188"/>
        <v>135.70515815600274</v>
      </c>
      <c r="K429" s="360">
        <f t="shared" ca="1" si="189"/>
        <v>585.67192169912312</v>
      </c>
      <c r="L429" s="357">
        <f t="shared" ca="1" si="174"/>
        <v>601.18839793935604</v>
      </c>
      <c r="M429" s="359">
        <f t="shared" ca="1" si="190"/>
        <v>1.3254495641401056</v>
      </c>
      <c r="N429" s="357">
        <f t="shared" ca="1" si="191"/>
        <v>75.942665982682556</v>
      </c>
      <c r="O429" s="343"/>
      <c r="P429" s="363">
        <f t="shared" ca="1" si="192"/>
        <v>16</v>
      </c>
      <c r="Q429" s="357">
        <f t="shared" ca="1" si="193"/>
        <v>480.97083333337969</v>
      </c>
      <c r="R429" s="359">
        <f t="shared" ca="1" si="194"/>
        <v>0.24093380695905908</v>
      </c>
      <c r="S429" s="360">
        <f t="shared" ca="1" si="195"/>
        <v>10.686463943909482</v>
      </c>
      <c r="T429" s="357">
        <f t="shared" ca="1" si="175"/>
        <v>104.83421128975202</v>
      </c>
      <c r="U429" s="364">
        <f t="shared" ca="1" si="176"/>
        <v>0</v>
      </c>
      <c r="V429" s="359">
        <f t="shared" ca="1" si="177"/>
        <v>1.1552963627507178</v>
      </c>
      <c r="W429" s="357">
        <f t="shared" ca="1" si="178"/>
        <v>161.82435149271069</v>
      </c>
      <c r="X429" s="343"/>
      <c r="Y429" s="367" t="str">
        <f t="shared" ca="1" si="196"/>
        <v/>
      </c>
      <c r="Z429" s="368" t="str">
        <f t="shared" ca="1" si="197"/>
        <v/>
      </c>
      <c r="AA429" s="369" t="str">
        <f t="shared" ca="1" si="198"/>
        <v/>
      </c>
      <c r="AB429" s="344"/>
      <c r="AC429" s="363" t="e">
        <f t="shared" ca="1" si="199"/>
        <v>#N/A</v>
      </c>
      <c r="AD429" s="376" t="e">
        <f t="shared" ca="1" si="200"/>
        <v>#N/A</v>
      </c>
      <c r="AE429" s="377">
        <f t="shared" ca="1" si="179"/>
        <v>585.67192169912312</v>
      </c>
      <c r="AF429" s="344"/>
      <c r="AG429" s="359">
        <f t="shared" ca="1" si="201"/>
        <v>20.369367469011532</v>
      </c>
      <c r="AH429" s="357">
        <f t="shared" ca="1" si="202"/>
        <v>29.885818049578514</v>
      </c>
    </row>
    <row r="430" spans="1:34" x14ac:dyDescent="0.25">
      <c r="A430" s="402">
        <f t="shared" ca="1" si="180"/>
        <v>0.01</v>
      </c>
      <c r="B430" s="357">
        <f t="shared" ca="1" si="181"/>
        <v>4.2599999999999536</v>
      </c>
      <c r="C430" s="342"/>
      <c r="D430" s="359">
        <f t="shared" ca="1" si="182"/>
        <v>7.0271968711213031</v>
      </c>
      <c r="E430" s="360">
        <f t="shared" ca="1" si="183"/>
        <v>18.254878101129698</v>
      </c>
      <c r="F430" s="357">
        <f t="shared" ca="1" si="184"/>
        <v>19.560727756210955</v>
      </c>
      <c r="G430" s="359">
        <f t="shared" ca="1" si="185"/>
        <v>60.227755003347163</v>
      </c>
      <c r="H430" s="360">
        <f t="shared" ca="1" si="186"/>
        <v>240.43658736872462</v>
      </c>
      <c r="I430" s="357">
        <f t="shared" ca="1" si="187"/>
        <v>247.86515490940138</v>
      </c>
      <c r="J430" s="359">
        <f t="shared" ca="1" si="188"/>
        <v>136.30708434619265</v>
      </c>
      <c r="K430" s="360">
        <f t="shared" ca="1" si="189"/>
        <v>588.0753748289053</v>
      </c>
      <c r="L430" s="357">
        <f t="shared" ca="1" si="174"/>
        <v>603.66569202093763</v>
      </c>
      <c r="M430" s="359">
        <f t="shared" ca="1" si="190"/>
        <v>1.325353432129774</v>
      </c>
      <c r="N430" s="357">
        <f t="shared" ca="1" si="191"/>
        <v>75.93715802421444</v>
      </c>
      <c r="O430" s="343"/>
      <c r="P430" s="363">
        <f t="shared" ca="1" si="192"/>
        <v>16</v>
      </c>
      <c r="Q430" s="357">
        <f t="shared" ca="1" si="193"/>
        <v>470.92916666671312</v>
      </c>
      <c r="R430" s="359">
        <f t="shared" ca="1" si="194"/>
        <v>0.23590361217272182</v>
      </c>
      <c r="S430" s="360">
        <f t="shared" ca="1" si="195"/>
        <v>10.684104907787754</v>
      </c>
      <c r="T430" s="357">
        <f t="shared" ca="1" si="175"/>
        <v>104.81106914539787</v>
      </c>
      <c r="U430" s="364">
        <f t="shared" ca="1" si="176"/>
        <v>0</v>
      </c>
      <c r="V430" s="359">
        <f t="shared" ca="1" si="177"/>
        <v>1.155018486813375</v>
      </c>
      <c r="W430" s="357">
        <f t="shared" ca="1" si="178"/>
        <v>162.03917870382995</v>
      </c>
      <c r="X430" s="343"/>
      <c r="Y430" s="367" t="str">
        <f t="shared" ca="1" si="196"/>
        <v/>
      </c>
      <c r="Z430" s="368" t="str">
        <f t="shared" ca="1" si="197"/>
        <v/>
      </c>
      <c r="AA430" s="369" t="str">
        <f t="shared" ca="1" si="198"/>
        <v/>
      </c>
      <c r="AB430" s="344"/>
      <c r="AC430" s="363" t="e">
        <f t="shared" ca="1" si="199"/>
        <v>#N/A</v>
      </c>
      <c r="AD430" s="376" t="e">
        <f t="shared" ca="1" si="200"/>
        <v>#N/A</v>
      </c>
      <c r="AE430" s="377">
        <f t="shared" ca="1" si="179"/>
        <v>588.0753748289053</v>
      </c>
      <c r="AF430" s="344"/>
      <c r="AG430" s="359">
        <f t="shared" ca="1" si="201"/>
        <v>19.415057080887564</v>
      </c>
      <c r="AH430" s="357">
        <f t="shared" ca="1" si="202"/>
        <v>28.931278552749209</v>
      </c>
    </row>
    <row r="431" spans="1:34" x14ac:dyDescent="0.25">
      <c r="A431" s="402">
        <f t="shared" ca="1" si="180"/>
        <v>0.01</v>
      </c>
      <c r="B431" s="357">
        <f t="shared" ca="1" si="181"/>
        <v>4.2699999999999534</v>
      </c>
      <c r="C431" s="342"/>
      <c r="D431" s="359">
        <f t="shared" ca="1" si="182"/>
        <v>6.798102860460018</v>
      </c>
      <c r="E431" s="360">
        <f t="shared" ca="1" si="183"/>
        <v>17.328860684077185</v>
      </c>
      <c r="F431" s="357">
        <f t="shared" ca="1" si="184"/>
        <v>18.614607573342788</v>
      </c>
      <c r="G431" s="359">
        <f t="shared" ca="1" si="185"/>
        <v>60.295736031951762</v>
      </c>
      <c r="H431" s="360">
        <f t="shared" ca="1" si="186"/>
        <v>240.60987597556539</v>
      </c>
      <c r="I431" s="357">
        <f t="shared" ca="1" si="187"/>
        <v>248.0497696040288</v>
      </c>
      <c r="J431" s="359">
        <f t="shared" ca="1" si="188"/>
        <v>136.90970180136915</v>
      </c>
      <c r="K431" s="360">
        <f t="shared" ca="1" si="189"/>
        <v>590.48060714562678</v>
      </c>
      <c r="L431" s="357">
        <f t="shared" ca="1" si="174"/>
        <v>606.14487860775318</v>
      </c>
      <c r="M431" s="359">
        <f t="shared" ca="1" si="190"/>
        <v>1.3252573347873111</v>
      </c>
      <c r="N431" s="357">
        <f t="shared" ca="1" si="191"/>
        <v>75.931652052068898</v>
      </c>
      <c r="O431" s="343"/>
      <c r="P431" s="363">
        <f t="shared" ca="1" si="192"/>
        <v>16</v>
      </c>
      <c r="Q431" s="357">
        <f t="shared" ca="1" si="193"/>
        <v>460.8875000000466</v>
      </c>
      <c r="R431" s="359">
        <f t="shared" ca="1" si="194"/>
        <v>0.23087341738638456</v>
      </c>
      <c r="S431" s="360">
        <f t="shared" ca="1" si="195"/>
        <v>10.68179617361389</v>
      </c>
      <c r="T431" s="357">
        <f t="shared" ca="1" si="175"/>
        <v>104.78842046315226</v>
      </c>
      <c r="U431" s="364">
        <f t="shared" ca="1" si="176"/>
        <v>0</v>
      </c>
      <c r="V431" s="359">
        <f t="shared" ca="1" si="177"/>
        <v>1.1547404701177917</v>
      </c>
      <c r="W431" s="357">
        <f t="shared" ca="1" si="178"/>
        <v>162.24158685898098</v>
      </c>
      <c r="X431" s="343"/>
      <c r="Y431" s="367" t="str">
        <f t="shared" ca="1" si="196"/>
        <v/>
      </c>
      <c r="Z431" s="368" t="str">
        <f t="shared" ca="1" si="197"/>
        <v/>
      </c>
      <c r="AA431" s="369" t="str">
        <f t="shared" ca="1" si="198"/>
        <v/>
      </c>
      <c r="AB431" s="344"/>
      <c r="AC431" s="363" t="e">
        <f t="shared" ca="1" si="199"/>
        <v>#N/A</v>
      </c>
      <c r="AD431" s="376" t="e">
        <f t="shared" ca="1" si="200"/>
        <v>#N/A</v>
      </c>
      <c r="AE431" s="377">
        <f t="shared" ca="1" si="179"/>
        <v>590.48060714562678</v>
      </c>
      <c r="AF431" s="344"/>
      <c r="AG431" s="359">
        <f t="shared" ca="1" si="201"/>
        <v>18.461354929487744</v>
      </c>
      <c r="AH431" s="357">
        <f t="shared" ca="1" si="202"/>
        <v>27.977347296181335</v>
      </c>
    </row>
    <row r="432" spans="1:34" x14ac:dyDescent="0.25">
      <c r="A432" s="402">
        <f t="shared" ca="1" si="180"/>
        <v>0.01</v>
      </c>
      <c r="B432" s="357">
        <f t="shared" ca="1" si="181"/>
        <v>4.2799999999999532</v>
      </c>
      <c r="C432" s="342"/>
      <c r="D432" s="359">
        <f t="shared" ca="1" si="182"/>
        <v>6.5689814436501228</v>
      </c>
      <c r="E432" s="360">
        <f t="shared" ca="1" si="183"/>
        <v>16.40349227091081</v>
      </c>
      <c r="F432" s="357">
        <f t="shared" ca="1" si="184"/>
        <v>17.669920087223097</v>
      </c>
      <c r="G432" s="359">
        <f t="shared" ca="1" si="185"/>
        <v>60.361425846388265</v>
      </c>
      <c r="H432" s="360">
        <f t="shared" ca="1" si="186"/>
        <v>240.77391089827449</v>
      </c>
      <c r="I432" s="357">
        <f t="shared" ca="1" si="187"/>
        <v>248.22485350878799</v>
      </c>
      <c r="J432" s="359">
        <f t="shared" ca="1" si="188"/>
        <v>137.51298761076086</v>
      </c>
      <c r="K432" s="360">
        <f t="shared" ca="1" si="189"/>
        <v>592.88752607999595</v>
      </c>
      <c r="L432" s="357">
        <f t="shared" ca="1" si="174"/>
        <v>608.62586236775644</v>
      </c>
      <c r="M432" s="359">
        <f t="shared" ca="1" si="190"/>
        <v>1.3251612683869243</v>
      </c>
      <c r="N432" s="357">
        <f t="shared" ca="1" si="191"/>
        <v>75.926147852773724</v>
      </c>
      <c r="O432" s="343"/>
      <c r="P432" s="363">
        <f t="shared" ca="1" si="192"/>
        <v>16</v>
      </c>
      <c r="Q432" s="357">
        <f t="shared" ca="1" si="193"/>
        <v>450.84583333338009</v>
      </c>
      <c r="R432" s="359">
        <f t="shared" ca="1" si="194"/>
        <v>0.22584322260004733</v>
      </c>
      <c r="S432" s="360">
        <f t="shared" ca="1" si="195"/>
        <v>10.67953774138789</v>
      </c>
      <c r="T432" s="357">
        <f t="shared" ca="1" si="175"/>
        <v>104.7662652430152</v>
      </c>
      <c r="U432" s="364">
        <f t="shared" ca="1" si="176"/>
        <v>0</v>
      </c>
      <c r="V432" s="359">
        <f t="shared" ca="1" si="177"/>
        <v>1.1544623234815239</v>
      </c>
      <c r="W432" s="357">
        <f t="shared" ca="1" si="178"/>
        <v>162.43156656607414</v>
      </c>
      <c r="X432" s="343"/>
      <c r="Y432" s="367" t="str">
        <f t="shared" ca="1" si="196"/>
        <v/>
      </c>
      <c r="Z432" s="368" t="str">
        <f t="shared" ca="1" si="197"/>
        <v/>
      </c>
      <c r="AA432" s="369" t="str">
        <f t="shared" ca="1" si="198"/>
        <v/>
      </c>
      <c r="AB432" s="344"/>
      <c r="AC432" s="363" t="e">
        <f t="shared" ca="1" si="199"/>
        <v>#N/A</v>
      </c>
      <c r="AD432" s="376" t="e">
        <f t="shared" ca="1" si="200"/>
        <v>#N/A</v>
      </c>
      <c r="AE432" s="377">
        <f t="shared" ca="1" si="179"/>
        <v>592.88752607999595</v>
      </c>
      <c r="AF432" s="344"/>
      <c r="AG432" s="359">
        <f t="shared" ca="1" si="201"/>
        <v>17.508275935623267</v>
      </c>
      <c r="AH432" s="357">
        <f t="shared" ca="1" si="202"/>
        <v>27.024039191877304</v>
      </c>
    </row>
    <row r="433" spans="1:34" x14ac:dyDescent="0.25">
      <c r="A433" s="402">
        <f t="shared" ca="1" si="180"/>
        <v>0.01</v>
      </c>
      <c r="B433" s="357">
        <f t="shared" ca="1" si="181"/>
        <v>4.289999999999953</v>
      </c>
      <c r="C433" s="342"/>
      <c r="D433" s="359">
        <f t="shared" ca="1" si="182"/>
        <v>6.3398365782242676</v>
      </c>
      <c r="E433" s="360">
        <f t="shared" ca="1" si="183"/>
        <v>15.478787101876049</v>
      </c>
      <c r="F433" s="357">
        <f t="shared" ca="1" si="184"/>
        <v>16.726816134094221</v>
      </c>
      <c r="G433" s="359">
        <f t="shared" ca="1" si="185"/>
        <v>60.424824212170506</v>
      </c>
      <c r="H433" s="360">
        <f t="shared" ca="1" si="186"/>
        <v>240.92869876929325</v>
      </c>
      <c r="I433" s="357">
        <f t="shared" ca="1" si="187"/>
        <v>248.39041300287045</v>
      </c>
      <c r="J433" s="359">
        <f t="shared" ca="1" si="188"/>
        <v>138.11691886105365</v>
      </c>
      <c r="K433" s="360">
        <f t="shared" ca="1" si="189"/>
        <v>595.29603912833375</v>
      </c>
      <c r="L433" s="357">
        <f t="shared" ca="1" si="174"/>
        <v>611.10854803181542</v>
      </c>
      <c r="M433" s="359">
        <f t="shared" ca="1" si="190"/>
        <v>1.3250652292152996</v>
      </c>
      <c r="N433" s="357">
        <f t="shared" ca="1" si="191"/>
        <v>75.920645213571689</v>
      </c>
      <c r="O433" s="343"/>
      <c r="P433" s="363">
        <f t="shared" ca="1" si="192"/>
        <v>16</v>
      </c>
      <c r="Q433" s="357">
        <f t="shared" ca="1" si="193"/>
        <v>440.80416666671357</v>
      </c>
      <c r="R433" s="359">
        <f t="shared" ca="1" si="194"/>
        <v>0.22081302781371007</v>
      </c>
      <c r="S433" s="360">
        <f t="shared" ca="1" si="195"/>
        <v>10.677329611109753</v>
      </c>
      <c r="T433" s="357">
        <f t="shared" ca="1" si="175"/>
        <v>104.74460348498668</v>
      </c>
      <c r="U433" s="364">
        <f t="shared" ca="1" si="176"/>
        <v>0</v>
      </c>
      <c r="V433" s="359">
        <f t="shared" ca="1" si="177"/>
        <v>1.1541840577045599</v>
      </c>
      <c r="W433" s="357">
        <f t="shared" ca="1" si="178"/>
        <v>162.60911011991413</v>
      </c>
      <c r="X433" s="343"/>
      <c r="Y433" s="367" t="str">
        <f t="shared" ca="1" si="196"/>
        <v/>
      </c>
      <c r="Z433" s="368" t="str">
        <f t="shared" ca="1" si="197"/>
        <v/>
      </c>
      <c r="AA433" s="369" t="str">
        <f t="shared" ca="1" si="198"/>
        <v/>
      </c>
      <c r="AB433" s="344"/>
      <c r="AC433" s="363" t="e">
        <f t="shared" ca="1" si="199"/>
        <v>#N/A</v>
      </c>
      <c r="AD433" s="376" t="e">
        <f t="shared" ca="1" si="200"/>
        <v>#N/A</v>
      </c>
      <c r="AE433" s="377">
        <f t="shared" ca="1" si="179"/>
        <v>595.29603912833375</v>
      </c>
      <c r="AF433" s="344"/>
      <c r="AG433" s="359">
        <f t="shared" ca="1" si="201"/>
        <v>16.555834856519219</v>
      </c>
      <c r="AH433" s="357">
        <f t="shared" ca="1" si="202"/>
        <v>26.071368988271463</v>
      </c>
    </row>
    <row r="434" spans="1:34" x14ac:dyDescent="0.25">
      <c r="A434" s="402">
        <f t="shared" ca="1" si="180"/>
        <v>0.01</v>
      </c>
      <c r="B434" s="357">
        <f t="shared" ca="1" si="181"/>
        <v>4.2999999999999527</v>
      </c>
      <c r="C434" s="342"/>
      <c r="D434" s="359">
        <f t="shared" ca="1" si="182"/>
        <v>6.1106721731691103</v>
      </c>
      <c r="E434" s="360">
        <f t="shared" ca="1" si="183"/>
        <v>14.554759260496647</v>
      </c>
      <c r="F434" s="357">
        <f t="shared" ca="1" si="184"/>
        <v>15.785478502058663</v>
      </c>
      <c r="G434" s="359">
        <f t="shared" ca="1" si="185"/>
        <v>60.485930933902196</v>
      </c>
      <c r="H434" s="360">
        <f t="shared" ca="1" si="186"/>
        <v>241.07424636189822</v>
      </c>
      <c r="I434" s="357">
        <f t="shared" ca="1" si="187"/>
        <v>248.54645461140254</v>
      </c>
      <c r="J434" s="359">
        <f t="shared" ca="1" si="188"/>
        <v>138.721472636784</v>
      </c>
      <c r="K434" s="360">
        <f t="shared" ca="1" si="189"/>
        <v>597.70605385398972</v>
      </c>
      <c r="L434" s="357">
        <f t="shared" ca="1" si="174"/>
        <v>613.59284039518138</v>
      </c>
      <c r="M434" s="359">
        <f t="shared" ca="1" si="190"/>
        <v>1.3249692135707725</v>
      </c>
      <c r="N434" s="357">
        <f t="shared" ca="1" si="191"/>
        <v>75.915143922373062</v>
      </c>
      <c r="O434" s="343"/>
      <c r="P434" s="363">
        <f t="shared" ca="1" si="192"/>
        <v>16</v>
      </c>
      <c r="Q434" s="357">
        <f t="shared" ca="1" si="193"/>
        <v>430.76250000004705</v>
      </c>
      <c r="R434" s="359">
        <f t="shared" ca="1" si="194"/>
        <v>0.21578283302737283</v>
      </c>
      <c r="S434" s="360">
        <f t="shared" ca="1" si="195"/>
        <v>10.675171782779479</v>
      </c>
      <c r="T434" s="357">
        <f t="shared" ca="1" si="175"/>
        <v>104.72343518906669</v>
      </c>
      <c r="U434" s="364">
        <f t="shared" ca="1" si="176"/>
        <v>0</v>
      </c>
      <c r="V434" s="359">
        <f t="shared" ca="1" si="177"/>
        <v>1.153905683569153</v>
      </c>
      <c r="W434" s="357">
        <f t="shared" ca="1" si="178"/>
        <v>162.77421149436867</v>
      </c>
      <c r="X434" s="343"/>
      <c r="Y434" s="367" t="str">
        <f t="shared" ca="1" si="196"/>
        <v/>
      </c>
      <c r="Z434" s="368" t="str">
        <f t="shared" ca="1" si="197"/>
        <v/>
      </c>
      <c r="AA434" s="369" t="str">
        <f t="shared" ca="1" si="198"/>
        <v/>
      </c>
      <c r="AB434" s="344"/>
      <c r="AC434" s="363" t="e">
        <f t="shared" ca="1" si="199"/>
        <v>#N/A</v>
      </c>
      <c r="AD434" s="376" t="e">
        <f t="shared" ca="1" si="200"/>
        <v>#N/A</v>
      </c>
      <c r="AE434" s="377">
        <f t="shared" ca="1" si="179"/>
        <v>597.70605385398972</v>
      </c>
      <c r="AF434" s="344"/>
      <c r="AG434" s="359">
        <f t="shared" ca="1" si="201"/>
        <v>15.604046285670988</v>
      </c>
      <c r="AH434" s="357">
        <f t="shared" ca="1" si="202"/>
        <v>25.119351270084593</v>
      </c>
    </row>
    <row r="435" spans="1:34" x14ac:dyDescent="0.25">
      <c r="A435" s="402">
        <f t="shared" ca="1" si="180"/>
        <v>0.01</v>
      </c>
      <c r="B435" s="357">
        <f t="shared" ca="1" si="181"/>
        <v>4.3099999999999525</v>
      </c>
      <c r="C435" s="342"/>
      <c r="D435" s="359">
        <f t="shared" ca="1" si="182"/>
        <v>5.8814920889166888</v>
      </c>
      <c r="E435" s="360">
        <f t="shared" ca="1" si="183"/>
        <v>13.631422673455821</v>
      </c>
      <c r="F435" s="357">
        <f t="shared" ca="1" si="184"/>
        <v>14.846131930384933</v>
      </c>
      <c r="G435" s="359">
        <f t="shared" ca="1" si="185"/>
        <v>60.544745854791366</v>
      </c>
      <c r="H435" s="360">
        <f t="shared" ca="1" si="186"/>
        <v>241.21056058863277</v>
      </c>
      <c r="I435" s="357">
        <f t="shared" ca="1" si="187"/>
        <v>248.69298500380697</v>
      </c>
      <c r="J435" s="359">
        <f t="shared" ca="1" si="188"/>
        <v>139.32662602072747</v>
      </c>
      <c r="K435" s="360">
        <f t="shared" ca="1" si="189"/>
        <v>600.11747788874231</v>
      </c>
      <c r="L435" s="357">
        <f t="shared" ca="1" si="174"/>
        <v>616.07864431894143</v>
      </c>
      <c r="M435" s="359">
        <f t="shared" ca="1" si="190"/>
        <v>1.3248732177625051</v>
      </c>
      <c r="N435" s="357">
        <f t="shared" ca="1" si="191"/>
        <v>75.909643767708388</v>
      </c>
      <c r="O435" s="343"/>
      <c r="P435" s="363">
        <f t="shared" ca="1" si="192"/>
        <v>16</v>
      </c>
      <c r="Q435" s="357">
        <f t="shared" ca="1" si="193"/>
        <v>420.72083333338054</v>
      </c>
      <c r="R435" s="359">
        <f t="shared" ca="1" si="194"/>
        <v>0.21075263824103557</v>
      </c>
      <c r="S435" s="360">
        <f t="shared" ca="1" si="195"/>
        <v>10.673064256397069</v>
      </c>
      <c r="T435" s="357">
        <f t="shared" ca="1" si="175"/>
        <v>104.70276035525525</v>
      </c>
      <c r="U435" s="364">
        <f t="shared" ca="1" si="176"/>
        <v>0</v>
      </c>
      <c r="V435" s="359">
        <f t="shared" ca="1" si="177"/>
        <v>1.1536272118396624</v>
      </c>
      <c r="W435" s="357">
        <f t="shared" ca="1" si="178"/>
        <v>162.92686633442378</v>
      </c>
      <c r="X435" s="343"/>
      <c r="Y435" s="367" t="str">
        <f t="shared" ca="1" si="196"/>
        <v/>
      </c>
      <c r="Z435" s="368" t="str">
        <f t="shared" ca="1" si="197"/>
        <v/>
      </c>
      <c r="AA435" s="369" t="str">
        <f t="shared" ca="1" si="198"/>
        <v/>
      </c>
      <c r="AB435" s="344"/>
      <c r="AC435" s="363" t="e">
        <f t="shared" ca="1" si="199"/>
        <v>#N/A</v>
      </c>
      <c r="AD435" s="376" t="e">
        <f t="shared" ca="1" si="200"/>
        <v>#N/A</v>
      </c>
      <c r="AE435" s="377">
        <f t="shared" ca="1" si="179"/>
        <v>600.11747788874231</v>
      </c>
      <c r="AF435" s="344"/>
      <c r="AG435" s="359">
        <f t="shared" ca="1" si="201"/>
        <v>14.65292465272317</v>
      </c>
      <c r="AH435" s="357">
        <f t="shared" ca="1" si="202"/>
        <v>24.168000458200886</v>
      </c>
    </row>
    <row r="436" spans="1:34" x14ac:dyDescent="0.25">
      <c r="A436" s="402">
        <f t="shared" ca="1" si="180"/>
        <v>0.01</v>
      </c>
      <c r="B436" s="357">
        <f t="shared" ca="1" si="181"/>
        <v>4.3199999999999523</v>
      </c>
      <c r="C436" s="342"/>
      <c r="D436" s="359">
        <f t="shared" ca="1" si="182"/>
        <v>5.6008669320655926</v>
      </c>
      <c r="E436" s="360">
        <f t="shared" ca="1" si="183"/>
        <v>12.503880971703898</v>
      </c>
      <c r="F436" s="357">
        <f t="shared" ca="1" si="184"/>
        <v>13.700976233292453</v>
      </c>
      <c r="G436" s="359">
        <f t="shared" ca="1" si="185"/>
        <v>60.60075452411202</v>
      </c>
      <c r="H436" s="360">
        <f t="shared" ca="1" si="186"/>
        <v>241.33559939834981</v>
      </c>
      <c r="I436" s="357">
        <f t="shared" ca="1" si="187"/>
        <v>248.82789832704142</v>
      </c>
      <c r="J436" s="359">
        <f t="shared" ca="1" si="188"/>
        <v>139.93235352262198</v>
      </c>
      <c r="K436" s="360">
        <f t="shared" ca="1" si="189"/>
        <v>602.53020868867725</v>
      </c>
      <c r="L436" s="357">
        <f t="shared" ca="1" si="174"/>
        <v>618.5658541697893</v>
      </c>
      <c r="M436" s="359">
        <f t="shared" ca="1" si="190"/>
        <v>1.3247772372947588</v>
      </c>
      <c r="N436" s="357">
        <f t="shared" ca="1" si="191"/>
        <v>75.904144491990849</v>
      </c>
      <c r="O436" s="343"/>
      <c r="P436" s="363">
        <f t="shared" ca="1" si="192"/>
        <v>17</v>
      </c>
      <c r="Q436" s="357">
        <f t="shared" ca="1" si="193"/>
        <v>408.42500000006868</v>
      </c>
      <c r="R436" s="359">
        <f t="shared" ca="1" si="194"/>
        <v>0.20459325864997518</v>
      </c>
      <c r="S436" s="360">
        <f t="shared" ca="1" si="195"/>
        <v>10.67101832381057</v>
      </c>
      <c r="T436" s="357">
        <f t="shared" ca="1" si="175"/>
        <v>104.68268975658169</v>
      </c>
      <c r="U436" s="364">
        <f t="shared" ca="1" si="176"/>
        <v>0</v>
      </c>
      <c r="V436" s="359">
        <f t="shared" ca="1" si="177"/>
        <v>1.153348654445137</v>
      </c>
      <c r="W436" s="357">
        <f t="shared" ca="1" si="178"/>
        <v>163.06430311934534</v>
      </c>
      <c r="X436" s="343"/>
      <c r="Y436" s="367" t="str">
        <f t="shared" ca="1" si="196"/>
        <v/>
      </c>
      <c r="Z436" s="368" t="str">
        <f t="shared" ca="1" si="197"/>
        <v/>
      </c>
      <c r="AA436" s="369" t="str">
        <f t="shared" ca="1" si="198"/>
        <v/>
      </c>
      <c r="AB436" s="344"/>
      <c r="AC436" s="363" t="e">
        <f t="shared" ca="1" si="199"/>
        <v>#N/A</v>
      </c>
      <c r="AD436" s="376" t="e">
        <f t="shared" ca="1" si="200"/>
        <v>#N/A</v>
      </c>
      <c r="AE436" s="377">
        <f t="shared" ca="1" si="179"/>
        <v>602.53020868867725</v>
      </c>
      <c r="AF436" s="344"/>
      <c r="AG436" s="359">
        <f t="shared" ca="1" si="201"/>
        <v>13.49121771020317</v>
      </c>
      <c r="AH436" s="357">
        <f t="shared" ca="1" si="202"/>
        <v>23.006064296399661</v>
      </c>
    </row>
    <row r="437" spans="1:34" x14ac:dyDescent="0.25">
      <c r="A437" s="402">
        <f t="shared" ca="1" si="180"/>
        <v>0.01</v>
      </c>
      <c r="B437" s="357">
        <f t="shared" ca="1" si="181"/>
        <v>4.3299999999999521</v>
      </c>
      <c r="C437" s="342"/>
      <c r="D437" s="359">
        <f t="shared" ca="1" si="182"/>
        <v>5.2687711359288603</v>
      </c>
      <c r="E437" s="360">
        <f t="shared" ca="1" si="183"/>
        <v>11.172280669066437</v>
      </c>
      <c r="F437" s="357">
        <f t="shared" ca="1" si="184"/>
        <v>12.352319807679555</v>
      </c>
      <c r="G437" s="359">
        <f t="shared" ca="1" si="185"/>
        <v>60.65344223547131</v>
      </c>
      <c r="H437" s="360">
        <f t="shared" ca="1" si="186"/>
        <v>241.44732220504048</v>
      </c>
      <c r="I437" s="357">
        <f t="shared" ca="1" si="187"/>
        <v>248.94909008670083</v>
      </c>
      <c r="J437" s="359">
        <f t="shared" ca="1" si="188"/>
        <v>140.53862450641989</v>
      </c>
      <c r="K437" s="360">
        <f t="shared" ca="1" si="189"/>
        <v>604.94412329669422</v>
      </c>
      <c r="L437" s="357">
        <f t="shared" ca="1" si="174"/>
        <v>621.05434326583895</v>
      </c>
      <c r="M437" s="359">
        <f t="shared" ca="1" si="190"/>
        <v>1.3246812668682524</v>
      </c>
      <c r="N437" s="357">
        <f t="shared" ca="1" si="191"/>
        <v>75.89864579159395</v>
      </c>
      <c r="O437" s="343"/>
      <c r="P437" s="363">
        <f t="shared" ca="1" si="192"/>
        <v>17</v>
      </c>
      <c r="Q437" s="357">
        <f t="shared" ca="1" si="193"/>
        <v>393.87500000006906</v>
      </c>
      <c r="R437" s="359">
        <f t="shared" ca="1" si="194"/>
        <v>0.19730469425417044</v>
      </c>
      <c r="S437" s="360">
        <f t="shared" ca="1" si="195"/>
        <v>10.669045276868028</v>
      </c>
      <c r="T437" s="357">
        <f t="shared" ca="1" si="175"/>
        <v>104.66333416607536</v>
      </c>
      <c r="U437" s="364">
        <f t="shared" ca="1" si="176"/>
        <v>0</v>
      </c>
      <c r="V437" s="359">
        <f t="shared" ca="1" si="177"/>
        <v>1.1530700256594646</v>
      </c>
      <c r="W437" s="357">
        <f t="shared" ca="1" si="178"/>
        <v>163.18375105625879</v>
      </c>
      <c r="X437" s="343"/>
      <c r="Y437" s="367" t="str">
        <f t="shared" ca="1" si="196"/>
        <v/>
      </c>
      <c r="Z437" s="368" t="str">
        <f t="shared" ca="1" si="197"/>
        <v/>
      </c>
      <c r="AA437" s="369" t="str">
        <f t="shared" ca="1" si="198"/>
        <v/>
      </c>
      <c r="AB437" s="344"/>
      <c r="AC437" s="363" t="e">
        <f t="shared" ca="1" si="199"/>
        <v>#N/A</v>
      </c>
      <c r="AD437" s="376" t="e">
        <f t="shared" ca="1" si="200"/>
        <v>#N/A</v>
      </c>
      <c r="AE437" s="377">
        <f t="shared" ca="1" si="179"/>
        <v>604.94412329669422</v>
      </c>
      <c r="AF437" s="344"/>
      <c r="AG437" s="359">
        <f t="shared" ca="1" si="201"/>
        <v>12.119061320867093</v>
      </c>
      <c r="AH437" s="357">
        <f t="shared" ca="1" si="202"/>
        <v>21.633678636752379</v>
      </c>
    </row>
    <row r="438" spans="1:34" x14ac:dyDescent="0.25">
      <c r="A438" s="402">
        <f t="shared" ca="1" si="180"/>
        <v>0.01</v>
      </c>
      <c r="B438" s="357">
        <f t="shared" ca="1" si="181"/>
        <v>4.3399999999999519</v>
      </c>
      <c r="C438" s="342"/>
      <c r="D438" s="359">
        <f t="shared" ca="1" si="182"/>
        <v>4.9366730269635148</v>
      </c>
      <c r="E438" s="360">
        <f t="shared" ca="1" si="183"/>
        <v>9.8417532893643251</v>
      </c>
      <c r="F438" s="357">
        <f t="shared" ca="1" si="184"/>
        <v>11.010488108338459</v>
      </c>
      <c r="G438" s="359">
        <f t="shared" ca="1" si="185"/>
        <v>60.702808965740942</v>
      </c>
      <c r="H438" s="360">
        <f t="shared" ca="1" si="186"/>
        <v>241.54573973793413</v>
      </c>
      <c r="I438" s="357">
        <f t="shared" ca="1" si="187"/>
        <v>249.05657068601312</v>
      </c>
      <c r="J438" s="359">
        <f t="shared" ca="1" si="188"/>
        <v>141.14540576242595</v>
      </c>
      <c r="K438" s="360">
        <f t="shared" ca="1" si="189"/>
        <v>607.35908860640905</v>
      </c>
      <c r="L438" s="357">
        <f t="shared" ca="1" si="174"/>
        <v>623.54397445621078</v>
      </c>
      <c r="M438" s="359">
        <f t="shared" ca="1" si="190"/>
        <v>1.3245853011950843</v>
      </c>
      <c r="N438" s="357">
        <f t="shared" ca="1" si="191"/>
        <v>75.893147363543292</v>
      </c>
      <c r="O438" s="343"/>
      <c r="P438" s="363">
        <f t="shared" ca="1" si="192"/>
        <v>17</v>
      </c>
      <c r="Q438" s="357">
        <f t="shared" ca="1" si="193"/>
        <v>379.32500000006945</v>
      </c>
      <c r="R438" s="359">
        <f t="shared" ca="1" si="194"/>
        <v>0.19001612985836566</v>
      </c>
      <c r="S438" s="360">
        <f t="shared" ca="1" si="195"/>
        <v>10.667145115569443</v>
      </c>
      <c r="T438" s="357">
        <f t="shared" ca="1" si="175"/>
        <v>104.64469358373624</v>
      </c>
      <c r="U438" s="364">
        <f t="shared" ca="1" si="176"/>
        <v>0</v>
      </c>
      <c r="V438" s="359">
        <f t="shared" ca="1" si="177"/>
        <v>1.152791340914304</v>
      </c>
      <c r="W438" s="357">
        <f t="shared" ca="1" si="178"/>
        <v>163.2852126486851</v>
      </c>
      <c r="X438" s="343"/>
      <c r="Y438" s="367" t="str">
        <f t="shared" ca="1" si="196"/>
        <v/>
      </c>
      <c r="Z438" s="368" t="str">
        <f t="shared" ca="1" si="197"/>
        <v/>
      </c>
      <c r="AA438" s="369" t="str">
        <f t="shared" ca="1" si="198"/>
        <v/>
      </c>
      <c r="AB438" s="344"/>
      <c r="AC438" s="363" t="e">
        <f t="shared" ca="1" si="199"/>
        <v>#N/A</v>
      </c>
      <c r="AD438" s="376" t="e">
        <f t="shared" ca="1" si="200"/>
        <v>#N/A</v>
      </c>
      <c r="AE438" s="377">
        <f t="shared" ca="1" si="179"/>
        <v>607.35908860640905</v>
      </c>
      <c r="AF438" s="344"/>
      <c r="AG438" s="359">
        <f t="shared" ca="1" si="201"/>
        <v>10.747945248018983</v>
      </c>
      <c r="AH438" s="357">
        <f t="shared" ca="1" si="202"/>
        <v>20.262333229941479</v>
      </c>
    </row>
    <row r="439" spans="1:34" x14ac:dyDescent="0.25">
      <c r="A439" s="402">
        <f t="shared" ca="1" si="180"/>
        <v>0.01</v>
      </c>
      <c r="B439" s="357">
        <f t="shared" ca="1" si="181"/>
        <v>4.3499999999999517</v>
      </c>
      <c r="C439" s="342"/>
      <c r="D439" s="359">
        <f t="shared" ca="1" si="182"/>
        <v>4.6045799725996268</v>
      </c>
      <c r="E439" s="360">
        <f t="shared" ca="1" si="183"/>
        <v>8.5123263406436234</v>
      </c>
      <c r="F439" s="357">
        <f t="shared" ca="1" si="184"/>
        <v>9.6779055819779956</v>
      </c>
      <c r="G439" s="359">
        <f t="shared" ca="1" si="185"/>
        <v>60.748854765466938</v>
      </c>
      <c r="H439" s="360">
        <f t="shared" ca="1" si="186"/>
        <v>241.63086300134057</v>
      </c>
      <c r="I439" s="357">
        <f t="shared" ca="1" si="187"/>
        <v>249.15035081269383</v>
      </c>
      <c r="J439" s="359">
        <f t="shared" ca="1" si="188"/>
        <v>141.752664081082</v>
      </c>
      <c r="K439" s="360">
        <f t="shared" ca="1" si="189"/>
        <v>609.77497162010548</v>
      </c>
      <c r="L439" s="357">
        <f t="shared" ca="1" si="174"/>
        <v>626.03461069527498</v>
      </c>
      <c r="M439" s="359">
        <f t="shared" ca="1" si="190"/>
        <v>1.324489334997079</v>
      </c>
      <c r="N439" s="357">
        <f t="shared" ca="1" si="191"/>
        <v>75.887648905421671</v>
      </c>
      <c r="O439" s="343"/>
      <c r="P439" s="363">
        <f t="shared" ca="1" si="192"/>
        <v>17</v>
      </c>
      <c r="Q439" s="357">
        <f t="shared" ca="1" si="193"/>
        <v>364.77500000006984</v>
      </c>
      <c r="R439" s="359">
        <f t="shared" ca="1" si="194"/>
        <v>0.18272756546256091</v>
      </c>
      <c r="S439" s="360">
        <f t="shared" ca="1" si="195"/>
        <v>10.665317839914819</v>
      </c>
      <c r="T439" s="357">
        <f t="shared" ca="1" si="175"/>
        <v>104.62676800956437</v>
      </c>
      <c r="U439" s="364">
        <f t="shared" ca="1" si="176"/>
        <v>0</v>
      </c>
      <c r="V439" s="359">
        <f t="shared" ca="1" si="177"/>
        <v>1.1525126156143652</v>
      </c>
      <c r="W439" s="357">
        <f t="shared" ca="1" si="178"/>
        <v>163.36869378844932</v>
      </c>
      <c r="X439" s="343"/>
      <c r="Y439" s="367" t="str">
        <f t="shared" ca="1" si="196"/>
        <v/>
      </c>
      <c r="Z439" s="368" t="str">
        <f t="shared" ca="1" si="197"/>
        <v/>
      </c>
      <c r="AA439" s="369" t="str">
        <f t="shared" ca="1" si="198"/>
        <v/>
      </c>
      <c r="AB439" s="344"/>
      <c r="AC439" s="363" t="e">
        <f t="shared" ca="1" si="199"/>
        <v>#N/A</v>
      </c>
      <c r="AD439" s="376" t="e">
        <f t="shared" ca="1" si="200"/>
        <v>#N/A</v>
      </c>
      <c r="AE439" s="377">
        <f t="shared" ca="1" si="179"/>
        <v>609.77497162010548</v>
      </c>
      <c r="AF439" s="344"/>
      <c r="AG439" s="359">
        <f t="shared" ca="1" si="201"/>
        <v>9.3778979404249263</v>
      </c>
      <c r="AH439" s="357">
        <f t="shared" ca="1" si="202"/>
        <v>18.892056512119286</v>
      </c>
    </row>
    <row r="440" spans="1:34" x14ac:dyDescent="0.25">
      <c r="A440" s="402">
        <f t="shared" ca="1" si="180"/>
        <v>0.01</v>
      </c>
      <c r="B440" s="357">
        <f t="shared" ca="1" si="181"/>
        <v>4.3599999999999515</v>
      </c>
      <c r="C440" s="342"/>
      <c r="D440" s="359">
        <f t="shared" ca="1" si="182"/>
        <v>4.2724992392039054</v>
      </c>
      <c r="E440" s="360">
        <f t="shared" ca="1" si="183"/>
        <v>7.1840270039175547</v>
      </c>
      <c r="F440" s="357">
        <f t="shared" ca="1" si="184"/>
        <v>8.3584982946707953</v>
      </c>
      <c r="G440" s="359">
        <f t="shared" ca="1" si="185"/>
        <v>60.791579757858976</v>
      </c>
      <c r="H440" s="360">
        <f t="shared" ca="1" si="186"/>
        <v>241.70270327137976</v>
      </c>
      <c r="I440" s="357">
        <f t="shared" ca="1" si="187"/>
        <v>249.23044143552926</v>
      </c>
      <c r="J440" s="359">
        <f t="shared" ca="1" si="188"/>
        <v>142.36036625369863</v>
      </c>
      <c r="K440" s="360">
        <f t="shared" ca="1" si="189"/>
        <v>612.19163945146909</v>
      </c>
      <c r="L440" s="357">
        <f t="shared" ca="1" si="174"/>
        <v>628.52611504548065</v>
      </c>
      <c r="M440" s="359">
        <f t="shared" ca="1" si="190"/>
        <v>1.3243933630041411</v>
      </c>
      <c r="N440" s="357">
        <f t="shared" ca="1" si="191"/>
        <v>75.882150115274868</v>
      </c>
      <c r="O440" s="343"/>
      <c r="P440" s="363">
        <f t="shared" ca="1" si="192"/>
        <v>17</v>
      </c>
      <c r="Q440" s="357">
        <f t="shared" ca="1" si="193"/>
        <v>350.22500000007022</v>
      </c>
      <c r="R440" s="359">
        <f t="shared" ca="1" si="194"/>
        <v>0.17543900106675614</v>
      </c>
      <c r="S440" s="360">
        <f t="shared" ca="1" si="195"/>
        <v>10.663563449904151</v>
      </c>
      <c r="T440" s="357">
        <f t="shared" ca="1" si="175"/>
        <v>104.60955744355972</v>
      </c>
      <c r="U440" s="364">
        <f t="shared" ca="1" si="176"/>
        <v>0</v>
      </c>
      <c r="V440" s="359">
        <f t="shared" ca="1" si="177"/>
        <v>1.152233865137108</v>
      </c>
      <c r="W440" s="357">
        <f t="shared" ca="1" si="178"/>
        <v>163.43420373777701</v>
      </c>
      <c r="X440" s="343"/>
      <c r="Y440" s="367" t="str">
        <f t="shared" ca="1" si="196"/>
        <v/>
      </c>
      <c r="Z440" s="368" t="str">
        <f t="shared" ca="1" si="197"/>
        <v/>
      </c>
      <c r="AA440" s="369" t="str">
        <f t="shared" ca="1" si="198"/>
        <v/>
      </c>
      <c r="AB440" s="344"/>
      <c r="AC440" s="363" t="e">
        <f t="shared" ca="1" si="199"/>
        <v>#N/A</v>
      </c>
      <c r="AD440" s="376" t="e">
        <f t="shared" ca="1" si="200"/>
        <v>#N/A</v>
      </c>
      <c r="AE440" s="377">
        <f t="shared" ca="1" si="179"/>
        <v>612.19163945146909</v>
      </c>
      <c r="AF440" s="344"/>
      <c r="AG440" s="359">
        <f t="shared" ca="1" si="201"/>
        <v>8.008947505153726</v>
      </c>
      <c r="AH440" s="357">
        <f t="shared" ca="1" si="202"/>
        <v>17.522876577744793</v>
      </c>
    </row>
    <row r="441" spans="1:34" x14ac:dyDescent="0.25">
      <c r="A441" s="402">
        <f t="shared" ca="1" si="180"/>
        <v>0.01</v>
      </c>
      <c r="B441" s="357">
        <f t="shared" ca="1" si="181"/>
        <v>4.3699999999999513</v>
      </c>
      <c r="C441" s="342"/>
      <c r="D441" s="359">
        <f t="shared" ca="1" si="182"/>
        <v>3.9404379919383916</v>
      </c>
      <c r="E441" s="360">
        <f t="shared" ca="1" si="183"/>
        <v>5.8568821326629728</v>
      </c>
      <c r="F441" s="357">
        <f t="shared" ca="1" si="184"/>
        <v>7.0590452530224113</v>
      </c>
      <c r="G441" s="359">
        <f t="shared" ca="1" si="185"/>
        <v>60.830984137778358</v>
      </c>
      <c r="H441" s="360">
        <f t="shared" ca="1" si="186"/>
        <v>241.76127209270638</v>
      </c>
      <c r="I441" s="357">
        <f t="shared" ca="1" si="187"/>
        <v>249.29685380095404</v>
      </c>
      <c r="J441" s="359">
        <f t="shared" ca="1" si="188"/>
        <v>142.96847907317681</v>
      </c>
      <c r="K441" s="360">
        <f t="shared" ca="1" si="189"/>
        <v>614.60895932828953</v>
      </c>
      <c r="L441" s="357">
        <f t="shared" ca="1" si="174"/>
        <v>631.01835068015293</v>
      </c>
      <c r="M441" s="359">
        <f t="shared" ca="1" si="190"/>
        <v>1.3242973799526194</v>
      </c>
      <c r="N441" s="357">
        <f t="shared" ca="1" si="191"/>
        <v>75.876650691517895</v>
      </c>
      <c r="O441" s="343"/>
      <c r="P441" s="363">
        <f t="shared" ca="1" si="192"/>
        <v>17</v>
      </c>
      <c r="Q441" s="357">
        <f t="shared" ca="1" si="193"/>
        <v>335.67500000007061</v>
      </c>
      <c r="R441" s="359">
        <f t="shared" ca="1" si="194"/>
        <v>0.16815043667095139</v>
      </c>
      <c r="S441" s="360">
        <f t="shared" ca="1" si="195"/>
        <v>10.661881945537441</v>
      </c>
      <c r="T441" s="357">
        <f t="shared" ca="1" si="175"/>
        <v>104.59306188572231</v>
      </c>
      <c r="U441" s="364">
        <f t="shared" ca="1" si="176"/>
        <v>0</v>
      </c>
      <c r="V441" s="359">
        <f t="shared" ca="1" si="177"/>
        <v>1.1519551048324437</v>
      </c>
      <c r="W441" s="357">
        <f t="shared" ca="1" si="178"/>
        <v>163.4817551110944</v>
      </c>
      <c r="X441" s="343"/>
      <c r="Y441" s="367" t="str">
        <f t="shared" ca="1" si="196"/>
        <v/>
      </c>
      <c r="Z441" s="368" t="str">
        <f t="shared" ca="1" si="197"/>
        <v/>
      </c>
      <c r="AA441" s="369" t="str">
        <f t="shared" ca="1" si="198"/>
        <v/>
      </c>
      <c r="AB441" s="344"/>
      <c r="AC441" s="363" t="e">
        <f t="shared" ca="1" si="199"/>
        <v>#N/A</v>
      </c>
      <c r="AD441" s="376" t="e">
        <f t="shared" ca="1" si="200"/>
        <v>#N/A</v>
      </c>
      <c r="AE441" s="377">
        <f t="shared" ca="1" si="179"/>
        <v>614.60895932828953</v>
      </c>
      <c r="AF441" s="344"/>
      <c r="AG441" s="359">
        <f t="shared" ca="1" si="201"/>
        <v>6.6411217070466186</v>
      </c>
      <c r="AH441" s="357">
        <f t="shared" ca="1" si="202"/>
        <v>16.154821179049485</v>
      </c>
    </row>
    <row r="442" spans="1:34" x14ac:dyDescent="0.25">
      <c r="A442" s="402">
        <f t="shared" ca="1" si="180"/>
        <v>0.01</v>
      </c>
      <c r="B442" s="357">
        <f t="shared" ca="1" si="181"/>
        <v>4.379999999999951</v>
      </c>
      <c r="C442" s="342"/>
      <c r="D442" s="359">
        <f t="shared" ca="1" si="182"/>
        <v>3.6084032946235554</v>
      </c>
      <c r="E442" s="360">
        <f t="shared" ca="1" si="183"/>
        <v>4.530918252379994</v>
      </c>
      <c r="F442" s="357">
        <f t="shared" ca="1" si="184"/>
        <v>5.7922184477452427</v>
      </c>
      <c r="G442" s="359">
        <f t="shared" ca="1" si="185"/>
        <v>60.867068170724593</v>
      </c>
      <c r="H442" s="360">
        <f t="shared" ca="1" si="186"/>
        <v>241.80658127523017</v>
      </c>
      <c r="I442" s="357">
        <f t="shared" ca="1" si="187"/>
        <v>249.34959942962436</v>
      </c>
      <c r="J442" s="359">
        <f t="shared" ca="1" si="188"/>
        <v>143.57696933471934</v>
      </c>
      <c r="K442" s="360">
        <f t="shared" ca="1" si="189"/>
        <v>617.02679859512921</v>
      </c>
      <c r="L442" s="357">
        <f t="shared" ca="1" si="174"/>
        <v>633.51118088625481</v>
      </c>
      <c r="M442" s="359">
        <f t="shared" ca="1" si="190"/>
        <v>1.3242013805836765</v>
      </c>
      <c r="N442" s="357">
        <f t="shared" ca="1" si="191"/>
        <v>75.871150332841538</v>
      </c>
      <c r="O442" s="343"/>
      <c r="P442" s="363">
        <f t="shared" ca="1" si="192"/>
        <v>17</v>
      </c>
      <c r="Q442" s="357">
        <f t="shared" ca="1" si="193"/>
        <v>321.125000000071</v>
      </c>
      <c r="R442" s="359">
        <f t="shared" ca="1" si="194"/>
        <v>0.16086187227514662</v>
      </c>
      <c r="S442" s="360">
        <f t="shared" ca="1" si="195"/>
        <v>10.660273326814689</v>
      </c>
      <c r="T442" s="357">
        <f t="shared" ca="1" si="175"/>
        <v>104.57728133605211</v>
      </c>
      <c r="U442" s="364">
        <f t="shared" ca="1" si="176"/>
        <v>0</v>
      </c>
      <c r="V442" s="359">
        <f t="shared" ca="1" si="177"/>
        <v>1.151676350022445</v>
      </c>
      <c r="W442" s="357">
        <f t="shared" ca="1" si="178"/>
        <v>163.51136385654232</v>
      </c>
      <c r="X442" s="343"/>
      <c r="Y442" s="367" t="str">
        <f t="shared" ca="1" si="196"/>
        <v/>
      </c>
      <c r="Z442" s="368" t="str">
        <f t="shared" ca="1" si="197"/>
        <v/>
      </c>
      <c r="AA442" s="369" t="str">
        <f t="shared" ca="1" si="198"/>
        <v/>
      </c>
      <c r="AB442" s="344"/>
      <c r="AC442" s="363" t="e">
        <f t="shared" ca="1" si="199"/>
        <v>#N/A</v>
      </c>
      <c r="AD442" s="376" t="e">
        <f t="shared" ca="1" si="200"/>
        <v>#N/A</v>
      </c>
      <c r="AE442" s="377">
        <f t="shared" ca="1" si="179"/>
        <v>617.02679859512921</v>
      </c>
      <c r="AF442" s="344"/>
      <c r="AG442" s="359">
        <f t="shared" ca="1" si="201"/>
        <v>5.2744479682493708</v>
      </c>
      <c r="AH442" s="357">
        <f t="shared" ca="1" si="202"/>
        <v>14.787917725565551</v>
      </c>
    </row>
    <row r="443" spans="1:34" x14ac:dyDescent="0.25">
      <c r="A443" s="402">
        <f t="shared" ca="1" si="180"/>
        <v>0.01</v>
      </c>
      <c r="B443" s="357">
        <f t="shared" ca="1" si="181"/>
        <v>4.3899999999999508</v>
      </c>
      <c r="C443" s="342"/>
      <c r="D443" s="359">
        <f t="shared" ca="1" si="182"/>
        <v>3.2764021096057085</v>
      </c>
      <c r="E443" s="360">
        <f t="shared" ca="1" si="183"/>
        <v>3.2061615602139693</v>
      </c>
      <c r="F443" s="357">
        <f t="shared" ca="1" si="184"/>
        <v>4.5841338041141872</v>
      </c>
      <c r="G443" s="359">
        <f t="shared" ca="1" si="185"/>
        <v>60.89983219182065</v>
      </c>
      <c r="H443" s="360">
        <f t="shared" ca="1" si="186"/>
        <v>241.83864289083232</v>
      </c>
      <c r="I443" s="357">
        <f t="shared" ca="1" si="187"/>
        <v>249.38869011298695</v>
      </c>
      <c r="J443" s="359">
        <f t="shared" ca="1" si="188"/>
        <v>144.18580383653207</v>
      </c>
      <c r="K443" s="360">
        <f t="shared" ca="1" si="189"/>
        <v>619.44502471595956</v>
      </c>
      <c r="L443" s="357">
        <f t="shared" ca="1" si="174"/>
        <v>636.00446906711488</v>
      </c>
      <c r="M443" s="359">
        <f t="shared" ca="1" si="190"/>
        <v>1.3241053596416634</v>
      </c>
      <c r="N443" s="357">
        <f t="shared" ca="1" si="191"/>
        <v>75.865648738119319</v>
      </c>
      <c r="O443" s="343"/>
      <c r="P443" s="363">
        <f t="shared" ca="1" si="192"/>
        <v>17</v>
      </c>
      <c r="Q443" s="357">
        <f t="shared" ca="1" si="193"/>
        <v>306.57500000007138</v>
      </c>
      <c r="R443" s="359">
        <f t="shared" ca="1" si="194"/>
        <v>0.15357330787934187</v>
      </c>
      <c r="S443" s="360">
        <f t="shared" ca="1" si="195"/>
        <v>10.658737593735896</v>
      </c>
      <c r="T443" s="357">
        <f t="shared" ca="1" si="175"/>
        <v>104.56221579454915</v>
      </c>
      <c r="U443" s="364">
        <f t="shared" ca="1" si="176"/>
        <v>0</v>
      </c>
      <c r="V443" s="359">
        <f t="shared" ca="1" si="177"/>
        <v>1.1513976160010639</v>
      </c>
      <c r="W443" s="357">
        <f t="shared" ca="1" si="178"/>
        <v>163.52304923721152</v>
      </c>
      <c r="X443" s="343"/>
      <c r="Y443" s="367" t="str">
        <f t="shared" ca="1" si="196"/>
        <v/>
      </c>
      <c r="Z443" s="368" t="str">
        <f t="shared" ca="1" si="197"/>
        <v/>
      </c>
      <c r="AA443" s="369" t="str">
        <f t="shared" ca="1" si="198"/>
        <v/>
      </c>
      <c r="AB443" s="344"/>
      <c r="AC443" s="363" t="e">
        <f t="shared" ca="1" si="199"/>
        <v>#N/A</v>
      </c>
      <c r="AD443" s="376" t="e">
        <f t="shared" ca="1" si="200"/>
        <v>#N/A</v>
      </c>
      <c r="AE443" s="377">
        <f t="shared" ca="1" si="179"/>
        <v>619.44502471595956</v>
      </c>
      <c r="AF443" s="344"/>
      <c r="AG443" s="359">
        <f t="shared" ca="1" si="201"/>
        <v>3.9089533678058697</v>
      </c>
      <c r="AH443" s="357">
        <f t="shared" ca="1" si="202"/>
        <v>13.422193283715613</v>
      </c>
    </row>
    <row r="444" spans="1:34" x14ac:dyDescent="0.25">
      <c r="A444" s="402">
        <f t="shared" ca="1" si="180"/>
        <v>0.01</v>
      </c>
      <c r="B444" s="357">
        <f t="shared" ca="1" si="181"/>
        <v>4.3999999999999506</v>
      </c>
      <c r="C444" s="342"/>
      <c r="D444" s="359">
        <f t="shared" ca="1" si="182"/>
        <v>2.9444412976287038</v>
      </c>
      <c r="E444" s="360">
        <f t="shared" ca="1" si="183"/>
        <v>1.88263792463923</v>
      </c>
      <c r="F444" s="357">
        <f t="shared" ca="1" si="184"/>
        <v>3.4948619587147234</v>
      </c>
      <c r="G444" s="359">
        <f t="shared" ca="1" si="185"/>
        <v>60.929276604796939</v>
      </c>
      <c r="H444" s="360">
        <f t="shared" ca="1" si="186"/>
        <v>241.85746927007872</v>
      </c>
      <c r="I444" s="357">
        <f t="shared" ca="1" si="187"/>
        <v>249.4141379098445</v>
      </c>
      <c r="J444" s="359">
        <f t="shared" ca="1" si="188"/>
        <v>144.79494938051516</v>
      </c>
      <c r="K444" s="360">
        <f t="shared" ca="1" si="189"/>
        <v>621.86350527676416</v>
      </c>
      <c r="L444" s="357">
        <f t="shared" ca="1" si="174"/>
        <v>638.49807874512044</v>
      </c>
      <c r="M444" s="359">
        <f t="shared" ca="1" si="190"/>
        <v>1.3240093118724992</v>
      </c>
      <c r="N444" s="357">
        <f t="shared" ca="1" si="191"/>
        <v>75.86014560631456</v>
      </c>
      <c r="O444" s="343"/>
      <c r="P444" s="363">
        <f t="shared" ca="1" si="192"/>
        <v>17</v>
      </c>
      <c r="Q444" s="357">
        <f t="shared" ca="1" si="193"/>
        <v>292.02500000007177</v>
      </c>
      <c r="R444" s="359">
        <f t="shared" ca="1" si="194"/>
        <v>0.14628474348353709</v>
      </c>
      <c r="S444" s="360">
        <f t="shared" ca="1" si="195"/>
        <v>10.657274746301061</v>
      </c>
      <c r="T444" s="357">
        <f t="shared" ca="1" si="175"/>
        <v>104.54786526121342</v>
      </c>
      <c r="U444" s="364">
        <f t="shared" ca="1" si="176"/>
        <v>0</v>
      </c>
      <c r="V444" s="359">
        <f t="shared" ca="1" si="177"/>
        <v>1.1511189180338519</v>
      </c>
      <c r="W444" s="357">
        <f t="shared" ca="1" si="178"/>
        <v>163.51683381210813</v>
      </c>
      <c r="X444" s="343"/>
      <c r="Y444" s="367" t="str">
        <f t="shared" ca="1" si="196"/>
        <v/>
      </c>
      <c r="Z444" s="368" t="str">
        <f t="shared" ca="1" si="197"/>
        <v/>
      </c>
      <c r="AA444" s="369" t="str">
        <f t="shared" ca="1" si="198"/>
        <v/>
      </c>
      <c r="AB444" s="344"/>
      <c r="AC444" s="363" t="e">
        <f t="shared" ca="1" si="199"/>
        <v>#N/A</v>
      </c>
      <c r="AD444" s="376" t="e">
        <f t="shared" ca="1" si="200"/>
        <v>#N/A</v>
      </c>
      <c r="AE444" s="377">
        <f t="shared" ca="1" si="179"/>
        <v>621.86350527676416</v>
      </c>
      <c r="AF444" s="344"/>
      <c r="AG444" s="359">
        <f t="shared" ca="1" si="201"/>
        <v>2.5446646413127425</v>
      </c>
      <c r="AH444" s="357">
        <f t="shared" ca="1" si="202"/>
        <v>12.057674576463448</v>
      </c>
    </row>
    <row r="445" spans="1:34" x14ac:dyDescent="0.25">
      <c r="A445" s="402">
        <f t="shared" ca="1" si="180"/>
        <v>0.01</v>
      </c>
      <c r="B445" s="357">
        <f t="shared" ca="1" si="181"/>
        <v>4.4099999999999504</v>
      </c>
      <c r="C445" s="342"/>
      <c r="D445" s="359">
        <f t="shared" ca="1" si="182"/>
        <v>2.6125276177097736</v>
      </c>
      <c r="E445" s="360">
        <f t="shared" ca="1" si="183"/>
        <v>0.56037288520388628</v>
      </c>
      <c r="F445" s="357">
        <f t="shared" ca="1" si="184"/>
        <v>2.6719502846737311</v>
      </c>
      <c r="G445" s="359">
        <f t="shared" ca="1" si="185"/>
        <v>60.955401880974037</v>
      </c>
      <c r="H445" s="360">
        <f t="shared" ca="1" si="186"/>
        <v>241.86307299893076</v>
      </c>
      <c r="I445" s="357">
        <f t="shared" ca="1" si="187"/>
        <v>249.42595514291844</v>
      </c>
      <c r="J445" s="359">
        <f t="shared" ca="1" si="188"/>
        <v>145.40437277294401</v>
      </c>
      <c r="K445" s="360">
        <f t="shared" ca="1" si="189"/>
        <v>624.28210798810926</v>
      </c>
      <c r="L445" s="357">
        <f t="shared" ca="1" si="174"/>
        <v>640.99187356437722</v>
      </c>
      <c r="M445" s="359">
        <f t="shared" ca="1" si="190"/>
        <v>1.3239132320220526</v>
      </c>
      <c r="N445" s="357">
        <f t="shared" ca="1" si="191"/>
        <v>75.854640636387728</v>
      </c>
      <c r="O445" s="343"/>
      <c r="P445" s="363">
        <f t="shared" ca="1" si="192"/>
        <v>17</v>
      </c>
      <c r="Q445" s="357">
        <f t="shared" ca="1" si="193"/>
        <v>277.47500000007216</v>
      </c>
      <c r="R445" s="359">
        <f t="shared" ca="1" si="194"/>
        <v>0.13899617908773235</v>
      </c>
      <c r="S445" s="360">
        <f t="shared" ca="1" si="195"/>
        <v>10.655884784510183</v>
      </c>
      <c r="T445" s="357">
        <f t="shared" ca="1" si="175"/>
        <v>104.53422973604491</v>
      </c>
      <c r="U445" s="364">
        <f t="shared" ca="1" si="176"/>
        <v>0</v>
      </c>
      <c r="V445" s="359">
        <f t="shared" ca="1" si="177"/>
        <v>1.1508402713576888</v>
      </c>
      <c r="W445" s="357">
        <f t="shared" ca="1" si="178"/>
        <v>163.4927434168583</v>
      </c>
      <c r="X445" s="343"/>
      <c r="Y445" s="367" t="str">
        <f t="shared" ca="1" si="196"/>
        <v/>
      </c>
      <c r="Z445" s="368" t="str">
        <f t="shared" ca="1" si="197"/>
        <v/>
      </c>
      <c r="AA445" s="369" t="str">
        <f t="shared" ca="1" si="198"/>
        <v/>
      </c>
      <c r="AB445" s="344"/>
      <c r="AC445" s="363" t="e">
        <f t="shared" ca="1" si="199"/>
        <v>#N/A</v>
      </c>
      <c r="AD445" s="376" t="e">
        <f t="shared" ca="1" si="200"/>
        <v>#N/A</v>
      </c>
      <c r="AE445" s="377">
        <f t="shared" ca="1" si="179"/>
        <v>624.28210798810926</v>
      </c>
      <c r="AF445" s="344"/>
      <c r="AG445" s="359">
        <f t="shared" ca="1" si="201"/>
        <v>1.181608180634182</v>
      </c>
      <c r="AH445" s="357">
        <f t="shared" ca="1" si="202"/>
        <v>10.694387983024942</v>
      </c>
    </row>
    <row r="446" spans="1:34" x14ac:dyDescent="0.25">
      <c r="A446" s="402">
        <f t="shared" ca="1" si="180"/>
        <v>0.01</v>
      </c>
      <c r="B446" s="357">
        <f t="shared" ca="1" si="181"/>
        <v>4.4199999999999502</v>
      </c>
      <c r="C446" s="342"/>
      <c r="D446" s="359">
        <f t="shared" ca="1" si="182"/>
        <v>2.3119989320075534</v>
      </c>
      <c r="E446" s="360">
        <f t="shared" ca="1" si="183"/>
        <v>-0.63629021858468526</v>
      </c>
      <c r="F446" s="357">
        <f t="shared" ca="1" si="184"/>
        <v>2.3979583615798283</v>
      </c>
      <c r="G446" s="359">
        <f t="shared" ca="1" si="185"/>
        <v>60.978521870294109</v>
      </c>
      <c r="H446" s="360">
        <f t="shared" ca="1" si="186"/>
        <v>241.85671009674491</v>
      </c>
      <c r="I446" s="357">
        <f t="shared" ca="1" si="187"/>
        <v>249.42543645006788</v>
      </c>
      <c r="J446" s="359">
        <f t="shared" ca="1" si="188"/>
        <v>146.01404239170034</v>
      </c>
      <c r="K446" s="360">
        <f t="shared" ca="1" si="189"/>
        <v>626.70070690358762</v>
      </c>
      <c r="L446" s="357">
        <f t="shared" ca="1" si="174"/>
        <v>643.48572370257114</v>
      </c>
      <c r="M446" s="359">
        <f t="shared" ca="1" si="190"/>
        <v>1.3238171153285714</v>
      </c>
      <c r="N446" s="357">
        <f t="shared" ca="1" si="191"/>
        <v>75.849133555510505</v>
      </c>
      <c r="O446" s="343"/>
      <c r="P446" s="363">
        <f t="shared" ca="1" si="192"/>
        <v>18</v>
      </c>
      <c r="Q446" s="357">
        <f t="shared" ca="1" si="193"/>
        <v>264.29090909096794</v>
      </c>
      <c r="R446" s="359">
        <f t="shared" ca="1" si="194"/>
        <v>0.13239184262098644</v>
      </c>
      <c r="S446" s="360">
        <f t="shared" ca="1" si="195"/>
        <v>10.654560866083974</v>
      </c>
      <c r="T446" s="357">
        <f t="shared" ca="1" si="175"/>
        <v>104.5212420962838</v>
      </c>
      <c r="U446" s="364">
        <f t="shared" ca="1" si="176"/>
        <v>0</v>
      </c>
      <c r="V446" s="359">
        <f t="shared" ca="1" si="177"/>
        <v>1.1505616904646367</v>
      </c>
      <c r="W446" s="357">
        <f t="shared" ca="1" si="178"/>
        <v>163.452487340087</v>
      </c>
      <c r="X446" s="343"/>
      <c r="Y446" s="367" t="str">
        <f t="shared" ca="1" si="196"/>
        <v/>
      </c>
      <c r="Z446" s="368" t="str">
        <f t="shared" ca="1" si="197"/>
        <v/>
      </c>
      <c r="AA446" s="369" t="str">
        <f t="shared" ca="1" si="198"/>
        <v/>
      </c>
      <c r="AB446" s="344"/>
      <c r="AC446" s="363" t="e">
        <f t="shared" ca="1" si="199"/>
        <v>#N/A</v>
      </c>
      <c r="AD446" s="376" t="e">
        <f t="shared" ca="1" si="200"/>
        <v>#N/A</v>
      </c>
      <c r="AE446" s="377">
        <f t="shared" ca="1" si="179"/>
        <v>626.70070690358762</v>
      </c>
      <c r="AF446" s="344"/>
      <c r="AG446" s="359">
        <f t="shared" ca="1" si="201"/>
        <v>-5.1984499887836932E-2</v>
      </c>
      <c r="AH446" s="357">
        <f t="shared" ca="1" si="202"/>
        <v>9.4605650050744377</v>
      </c>
    </row>
    <row r="447" spans="1:34" x14ac:dyDescent="0.25">
      <c r="A447" s="402">
        <f t="shared" ca="1" si="180"/>
        <v>0.01</v>
      </c>
      <c r="B447" s="357">
        <f t="shared" ca="1" si="181"/>
        <v>4.42999999999995</v>
      </c>
      <c r="C447" s="342"/>
      <c r="D447" s="359">
        <f t="shared" ca="1" si="182"/>
        <v>2.0428708543495739</v>
      </c>
      <c r="E447" s="360">
        <f t="shared" ca="1" si="183"/>
        <v>-1.707441774064911</v>
      </c>
      <c r="F447" s="357">
        <f t="shared" ca="1" si="184"/>
        <v>2.6624572746567949</v>
      </c>
      <c r="G447" s="359">
        <f t="shared" ca="1" si="185"/>
        <v>60.998950578837608</v>
      </c>
      <c r="H447" s="360">
        <f t="shared" ca="1" si="186"/>
        <v>241.83963567900426</v>
      </c>
      <c r="I447" s="357">
        <f t="shared" ca="1" si="187"/>
        <v>249.41387563059314</v>
      </c>
      <c r="J447" s="359">
        <f t="shared" ca="1" si="188"/>
        <v>146.62392975394602</v>
      </c>
      <c r="K447" s="360">
        <f t="shared" ca="1" si="189"/>
        <v>629.11918863246638</v>
      </c>
      <c r="L447" s="357">
        <f t="shared" ca="1" si="174"/>
        <v>645.97951227733449</v>
      </c>
      <c r="M447" s="359">
        <f t="shared" ca="1" si="190"/>
        <v>1.3237209575218001</v>
      </c>
      <c r="N447" s="357">
        <f t="shared" ca="1" si="191"/>
        <v>75.843624119015274</v>
      </c>
      <c r="O447" s="343"/>
      <c r="P447" s="363">
        <f t="shared" ca="1" si="192"/>
        <v>18</v>
      </c>
      <c r="Q447" s="357">
        <f t="shared" ca="1" si="193"/>
        <v>252.47272727278633</v>
      </c>
      <c r="R447" s="359">
        <f t="shared" ca="1" si="194"/>
        <v>0.12647173408331305</v>
      </c>
      <c r="S447" s="360">
        <f t="shared" ca="1" si="195"/>
        <v>10.653296148743141</v>
      </c>
      <c r="T447" s="357">
        <f t="shared" ca="1" si="175"/>
        <v>104.50883521917022</v>
      </c>
      <c r="U447" s="364">
        <f t="shared" ca="1" si="176"/>
        <v>0</v>
      </c>
      <c r="V447" s="359">
        <f t="shared" ca="1" si="177"/>
        <v>1.1502831883874669</v>
      </c>
      <c r="W447" s="357">
        <f t="shared" ca="1" si="178"/>
        <v>163.3977744789596</v>
      </c>
      <c r="X447" s="343"/>
      <c r="Y447" s="367" t="str">
        <f t="shared" ca="1" si="196"/>
        <v/>
      </c>
      <c r="Z447" s="368" t="str">
        <f t="shared" ca="1" si="197"/>
        <v/>
      </c>
      <c r="AA447" s="369" t="str">
        <f t="shared" ca="1" si="198"/>
        <v/>
      </c>
      <c r="AB447" s="344"/>
      <c r="AC447" s="363" t="e">
        <f t="shared" ca="1" si="199"/>
        <v>#N/A</v>
      </c>
      <c r="AD447" s="376" t="e">
        <f t="shared" ca="1" si="200"/>
        <v>#N/A</v>
      </c>
      <c r="AE447" s="377">
        <f t="shared" ca="1" si="179"/>
        <v>629.11918863246638</v>
      </c>
      <c r="AF447" s="344"/>
      <c r="AG447" s="359">
        <f t="shared" ca="1" si="201"/>
        <v>-1.1561972555460613</v>
      </c>
      <c r="AH447" s="357">
        <f t="shared" ca="1" si="202"/>
        <v>8.3561217758131878</v>
      </c>
    </row>
    <row r="448" spans="1:34" x14ac:dyDescent="0.25">
      <c r="A448" s="402">
        <f t="shared" ca="1" si="180"/>
        <v>0.01</v>
      </c>
      <c r="B448" s="357">
        <f t="shared" ca="1" si="181"/>
        <v>4.4399999999999498</v>
      </c>
      <c r="C448" s="342"/>
      <c r="D448" s="359">
        <f t="shared" ca="1" si="182"/>
        <v>1.7737951050085454</v>
      </c>
      <c r="E448" s="360">
        <f t="shared" ca="1" si="183"/>
        <v>-2.7775189836250762</v>
      </c>
      <c r="F448" s="357">
        <f t="shared" ca="1" si="184"/>
        <v>3.295597180929422</v>
      </c>
      <c r="G448" s="359">
        <f t="shared" ca="1" si="185"/>
        <v>61.016688529887695</v>
      </c>
      <c r="H448" s="360">
        <f t="shared" ca="1" si="186"/>
        <v>241.811860489168</v>
      </c>
      <c r="I448" s="357">
        <f t="shared" ca="1" si="187"/>
        <v>249.39128323256645</v>
      </c>
      <c r="J448" s="359">
        <f t="shared" ca="1" si="188"/>
        <v>147.23400794948964</v>
      </c>
      <c r="K448" s="360">
        <f t="shared" ca="1" si="189"/>
        <v>631.53744611330728</v>
      </c>
      <c r="L448" s="357">
        <f t="shared" ca="1" si="174"/>
        <v>648.47312892685761</v>
      </c>
      <c r="M448" s="359">
        <f t="shared" ca="1" si="190"/>
        <v>1.3236247543278692</v>
      </c>
      <c r="N448" s="357">
        <f t="shared" ca="1" si="191"/>
        <v>75.838112082027351</v>
      </c>
      <c r="O448" s="343"/>
      <c r="P448" s="363">
        <f t="shared" ca="1" si="192"/>
        <v>18</v>
      </c>
      <c r="Q448" s="357">
        <f t="shared" ca="1" si="193"/>
        <v>240.65454545460472</v>
      </c>
      <c r="R448" s="359">
        <f t="shared" ca="1" si="194"/>
        <v>0.12055162554563965</v>
      </c>
      <c r="S448" s="360">
        <f t="shared" ca="1" si="195"/>
        <v>10.652090632487685</v>
      </c>
      <c r="T448" s="357">
        <f t="shared" ca="1" si="175"/>
        <v>104.49700910470419</v>
      </c>
      <c r="U448" s="364">
        <f t="shared" ca="1" si="176"/>
        <v>0</v>
      </c>
      <c r="V448" s="359">
        <f t="shared" ca="1" si="177"/>
        <v>1.1500047774181228</v>
      </c>
      <c r="W448" s="357">
        <f t="shared" ca="1" si="178"/>
        <v>163.32863291257914</v>
      </c>
      <c r="X448" s="343"/>
      <c r="Y448" s="367" t="str">
        <f t="shared" ca="1" si="196"/>
        <v/>
      </c>
      <c r="Z448" s="368" t="str">
        <f t="shared" ca="1" si="197"/>
        <v/>
      </c>
      <c r="AA448" s="369" t="str">
        <f t="shared" ca="1" si="198"/>
        <v/>
      </c>
      <c r="AB448" s="344"/>
      <c r="AC448" s="363" t="e">
        <f t="shared" ca="1" si="199"/>
        <v>#N/A</v>
      </c>
      <c r="AD448" s="376" t="e">
        <f t="shared" ca="1" si="200"/>
        <v>#N/A</v>
      </c>
      <c r="AE448" s="377">
        <f t="shared" ca="1" si="179"/>
        <v>631.53744611330728</v>
      </c>
      <c r="AF448" s="344"/>
      <c r="AG448" s="359">
        <f t="shared" ca="1" si="201"/>
        <v>-2.2593552091649762</v>
      </c>
      <c r="AH448" s="357">
        <f t="shared" ca="1" si="202"/>
        <v>7.2527331620724862</v>
      </c>
    </row>
    <row r="449" spans="1:34" x14ac:dyDescent="0.25">
      <c r="A449" s="402">
        <f t="shared" ca="1" si="180"/>
        <v>0.01</v>
      </c>
      <c r="B449" s="357">
        <f t="shared" ca="1" si="181"/>
        <v>4.4499999999999496</v>
      </c>
      <c r="C449" s="342"/>
      <c r="D449" s="359">
        <f t="shared" ca="1" si="182"/>
        <v>1.5047758240824296</v>
      </c>
      <c r="E449" s="360">
        <f t="shared" ca="1" si="183"/>
        <v>-3.8465062344827485</v>
      </c>
      <c r="F449" s="357">
        <f t="shared" ca="1" si="184"/>
        <v>4.1303705030732543</v>
      </c>
      <c r="G449" s="359">
        <f t="shared" ca="1" si="185"/>
        <v>61.031736288128521</v>
      </c>
      <c r="H449" s="360">
        <f t="shared" ca="1" si="186"/>
        <v>241.77339542682316</v>
      </c>
      <c r="I449" s="357">
        <f t="shared" ca="1" si="187"/>
        <v>249.35766996537055</v>
      </c>
      <c r="J449" s="359">
        <f t="shared" ca="1" si="188"/>
        <v>147.84425007357973</v>
      </c>
      <c r="K449" s="360">
        <f t="shared" ca="1" si="189"/>
        <v>633.95537239288728</v>
      </c>
      <c r="L449" s="357">
        <f t="shared" ca="1" si="174"/>
        <v>650.96646339548363</v>
      </c>
      <c r="M449" s="359">
        <f t="shared" ca="1" si="190"/>
        <v>1.3235285014682292</v>
      </c>
      <c r="N449" s="357">
        <f t="shared" ca="1" si="191"/>
        <v>75.832597199403921</v>
      </c>
      <c r="O449" s="343"/>
      <c r="P449" s="363">
        <f t="shared" ca="1" si="192"/>
        <v>18</v>
      </c>
      <c r="Q449" s="357">
        <f t="shared" ca="1" si="193"/>
        <v>228.83636363642307</v>
      </c>
      <c r="R449" s="359">
        <f t="shared" ca="1" si="194"/>
        <v>0.11463151700796624</v>
      </c>
      <c r="S449" s="360">
        <f t="shared" ca="1" si="195"/>
        <v>10.650944317317606</v>
      </c>
      <c r="T449" s="357">
        <f t="shared" ca="1" si="175"/>
        <v>104.48576375288572</v>
      </c>
      <c r="U449" s="364">
        <f t="shared" ca="1" si="176"/>
        <v>0</v>
      </c>
      <c r="V449" s="359">
        <f t="shared" ca="1" si="177"/>
        <v>1.1497264698245564</v>
      </c>
      <c r="W449" s="357">
        <f t="shared" ca="1" si="178"/>
        <v>163.24509281790981</v>
      </c>
      <c r="X449" s="343"/>
      <c r="Y449" s="367" t="str">
        <f t="shared" ca="1" si="196"/>
        <v/>
      </c>
      <c r="Z449" s="368" t="str">
        <f t="shared" ca="1" si="197"/>
        <v/>
      </c>
      <c r="AA449" s="369" t="str">
        <f t="shared" ca="1" si="198"/>
        <v/>
      </c>
      <c r="AB449" s="344"/>
      <c r="AC449" s="363" t="e">
        <f t="shared" ca="1" si="199"/>
        <v>#N/A</v>
      </c>
      <c r="AD449" s="376" t="e">
        <f t="shared" ca="1" si="200"/>
        <v>#N/A</v>
      </c>
      <c r="AE449" s="377">
        <f t="shared" ca="1" si="179"/>
        <v>633.95537239288728</v>
      </c>
      <c r="AF449" s="344"/>
      <c r="AG449" s="359">
        <f t="shared" ca="1" si="201"/>
        <v>-3.3614422297043802</v>
      </c>
      <c r="AH449" s="357">
        <f t="shared" ca="1" si="202"/>
        <v>6.1504152845239712</v>
      </c>
    </row>
    <row r="450" spans="1:34" x14ac:dyDescent="0.25">
      <c r="A450" s="402">
        <f t="shared" ca="1" si="180"/>
        <v>0.01</v>
      </c>
      <c r="B450" s="357">
        <f t="shared" ca="1" si="181"/>
        <v>4.4599999999999493</v>
      </c>
      <c r="C450" s="342"/>
      <c r="D450" s="359">
        <f t="shared" ca="1" si="182"/>
        <v>1.2358170844964231</v>
      </c>
      <c r="E450" s="360">
        <f t="shared" ca="1" si="183"/>
        <v>-4.9143881295689829</v>
      </c>
      <c r="F450" s="357">
        <f t="shared" ca="1" si="184"/>
        <v>5.0673912967504062</v>
      </c>
      <c r="G450" s="359">
        <f t="shared" ca="1" si="185"/>
        <v>61.044094458973483</v>
      </c>
      <c r="H450" s="360">
        <f t="shared" ca="1" si="186"/>
        <v>241.72425154552747</v>
      </c>
      <c r="I450" s="357">
        <f t="shared" ca="1" si="187"/>
        <v>249.31304669744324</v>
      </c>
      <c r="J450" s="359">
        <f t="shared" ca="1" si="188"/>
        <v>148.45462922731525</v>
      </c>
      <c r="K450" s="360">
        <f t="shared" ca="1" si="189"/>
        <v>636.37286062774899</v>
      </c>
      <c r="L450" s="357">
        <f t="shared" ca="1" si="174"/>
        <v>653.4594055353125</v>
      </c>
      <c r="M450" s="359">
        <f t="shared" ca="1" si="190"/>
        <v>1.3234321946585812</v>
      </c>
      <c r="N450" s="357">
        <f t="shared" ca="1" si="191"/>
        <v>75.827079225672719</v>
      </c>
      <c r="O450" s="343"/>
      <c r="P450" s="363">
        <f t="shared" ca="1" si="192"/>
        <v>18</v>
      </c>
      <c r="Q450" s="357">
        <f t="shared" ca="1" si="193"/>
        <v>217.01818181824146</v>
      </c>
      <c r="R450" s="359">
        <f t="shared" ca="1" si="194"/>
        <v>0.10871140847029283</v>
      </c>
      <c r="S450" s="360">
        <f t="shared" ca="1" si="195"/>
        <v>10.649857203232903</v>
      </c>
      <c r="T450" s="357">
        <f t="shared" ca="1" si="175"/>
        <v>104.47509916371479</v>
      </c>
      <c r="U450" s="364">
        <f t="shared" ca="1" si="176"/>
        <v>0</v>
      </c>
      <c r="V450" s="359">
        <f t="shared" ca="1" si="177"/>
        <v>1.1494482778505799</v>
      </c>
      <c r="W450" s="357">
        <f t="shared" ca="1" si="178"/>
        <v>163.14718645641543</v>
      </c>
      <c r="X450" s="343"/>
      <c r="Y450" s="367" t="str">
        <f t="shared" ca="1" si="196"/>
        <v/>
      </c>
      <c r="Z450" s="368" t="str">
        <f t="shared" ca="1" si="197"/>
        <v/>
      </c>
      <c r="AA450" s="369" t="str">
        <f t="shared" ca="1" si="198"/>
        <v/>
      </c>
      <c r="AB450" s="344"/>
      <c r="AC450" s="363" t="e">
        <f t="shared" ca="1" si="199"/>
        <v>#N/A</v>
      </c>
      <c r="AD450" s="376" t="e">
        <f t="shared" ca="1" si="200"/>
        <v>#N/A</v>
      </c>
      <c r="AE450" s="377">
        <f t="shared" ca="1" si="179"/>
        <v>636.37286062774899</v>
      </c>
      <c r="AF450" s="344"/>
      <c r="AG450" s="359">
        <f t="shared" ca="1" si="201"/>
        <v>-4.462442411674564</v>
      </c>
      <c r="AH450" s="357">
        <f t="shared" ca="1" si="202"/>
        <v>5.049184038261858</v>
      </c>
    </row>
    <row r="451" spans="1:34" x14ac:dyDescent="0.25">
      <c r="A451" s="402">
        <f t="shared" ca="1" si="180"/>
        <v>0.01</v>
      </c>
      <c r="B451" s="357">
        <f t="shared" ca="1" si="181"/>
        <v>4.4699999999999491</v>
      </c>
      <c r="C451" s="342"/>
      <c r="D451" s="359">
        <f t="shared" ca="1" si="182"/>
        <v>0.96692289199185399</v>
      </c>
      <c r="E451" s="360">
        <f t="shared" ca="1" si="183"/>
        <v>-5.9811494872603577</v>
      </c>
      <c r="F451" s="357">
        <f t="shared" ca="1" si="184"/>
        <v>6.0588026100882946</v>
      </c>
      <c r="G451" s="359">
        <f t="shared" ca="1" si="185"/>
        <v>61.053763687893401</v>
      </c>
      <c r="H451" s="360">
        <f t="shared" ca="1" si="186"/>
        <v>241.66444005065486</v>
      </c>
      <c r="I451" s="357">
        <f t="shared" ca="1" si="187"/>
        <v>249.2574244540244</v>
      </c>
      <c r="J451" s="359">
        <f t="shared" ca="1" si="188"/>
        <v>149.06511851804959</v>
      </c>
      <c r="K451" s="360">
        <f t="shared" ca="1" si="189"/>
        <v>638.78980408572988</v>
      </c>
      <c r="L451" s="357">
        <f t="shared" ca="1" si="174"/>
        <v>655.95184530778272</v>
      </c>
      <c r="M451" s="359">
        <f t="shared" ca="1" si="190"/>
        <v>1.3233358296078055</v>
      </c>
      <c r="N451" s="357">
        <f t="shared" ca="1" si="191"/>
        <v>75.821557914970697</v>
      </c>
      <c r="O451" s="343"/>
      <c r="P451" s="363">
        <f t="shared" ca="1" si="192"/>
        <v>18</v>
      </c>
      <c r="Q451" s="357">
        <f t="shared" ca="1" si="193"/>
        <v>205.20000000005982</v>
      </c>
      <c r="R451" s="359">
        <f t="shared" ca="1" si="194"/>
        <v>0.10279129993261941</v>
      </c>
      <c r="S451" s="360">
        <f t="shared" ca="1" si="195"/>
        <v>10.648829290233577</v>
      </c>
      <c r="T451" s="357">
        <f t="shared" ca="1" si="175"/>
        <v>104.46501533719139</v>
      </c>
      <c r="U451" s="364">
        <f t="shared" ca="1" si="176"/>
        <v>0</v>
      </c>
      <c r="V451" s="359">
        <f t="shared" ca="1" si="177"/>
        <v>1.1491702137157183</v>
      </c>
      <c r="W451" s="357">
        <f t="shared" ca="1" si="178"/>
        <v>163.03494816059609</v>
      </c>
      <c r="X451" s="343"/>
      <c r="Y451" s="367" t="str">
        <f t="shared" ca="1" si="196"/>
        <v/>
      </c>
      <c r="Z451" s="368" t="str">
        <f t="shared" ca="1" si="197"/>
        <v/>
      </c>
      <c r="AA451" s="369" t="str">
        <f t="shared" ca="1" si="198"/>
        <v/>
      </c>
      <c r="AB451" s="344"/>
      <c r="AC451" s="363" t="e">
        <f t="shared" ca="1" si="199"/>
        <v>#N/A</v>
      </c>
      <c r="AD451" s="376" t="e">
        <f t="shared" ca="1" si="200"/>
        <v>#N/A</v>
      </c>
      <c r="AE451" s="377">
        <f t="shared" ca="1" si="179"/>
        <v>638.78980408572988</v>
      </c>
      <c r="AF451" s="344"/>
      <c r="AG451" s="359">
        <f t="shared" ca="1" si="201"/>
        <v>-5.562340074884065</v>
      </c>
      <c r="AH451" s="357">
        <f t="shared" ca="1" si="202"/>
        <v>3.9490550930525794</v>
      </c>
    </row>
    <row r="452" spans="1:34" x14ac:dyDescent="0.25">
      <c r="A452" s="402">
        <f t="shared" ca="1" si="180"/>
        <v>0.01</v>
      </c>
      <c r="B452" s="357">
        <f t="shared" ca="1" si="181"/>
        <v>4.4799999999999489</v>
      </c>
      <c r="C452" s="342"/>
      <c r="D452" s="359">
        <f t="shared" ca="1" si="182"/>
        <v>0.69809718511660734</v>
      </c>
      <c r="E452" s="360">
        <f t="shared" ca="1" si="183"/>
        <v>-7.046775341081938</v>
      </c>
      <c r="F452" s="357">
        <f t="shared" ca="1" si="184"/>
        <v>7.0812698287488098</v>
      </c>
      <c r="G452" s="359">
        <f t="shared" ca="1" si="185"/>
        <v>61.060744659744564</v>
      </c>
      <c r="H452" s="360">
        <f t="shared" ca="1" si="186"/>
        <v>241.59397229724405</v>
      </c>
      <c r="I452" s="357">
        <f t="shared" ca="1" si="187"/>
        <v>249.19081441490584</v>
      </c>
      <c r="J452" s="359">
        <f t="shared" ca="1" si="188"/>
        <v>149.67569105978777</v>
      </c>
      <c r="K452" s="360">
        <f t="shared" ca="1" si="189"/>
        <v>641.20609614746934</v>
      </c>
      <c r="L452" s="357">
        <f t="shared" ref="L452:L515" ca="1" si="203">SQRT(pos_x^2+pos_z^2)</f>
        <v>658.44367278522975</v>
      </c>
      <c r="M452" s="359">
        <f t="shared" ca="1" si="190"/>
        <v>1.3232394020168869</v>
      </c>
      <c r="N452" s="357">
        <f t="shared" ca="1" si="191"/>
        <v>75.816033020982459</v>
      </c>
      <c r="O452" s="343"/>
      <c r="P452" s="363">
        <f t="shared" ca="1" si="192"/>
        <v>18</v>
      </c>
      <c r="Q452" s="357">
        <f t="shared" ca="1" si="193"/>
        <v>193.3818181818782</v>
      </c>
      <c r="R452" s="359">
        <f t="shared" ca="1" si="194"/>
        <v>9.6871191394946016E-2</v>
      </c>
      <c r="S452" s="360">
        <f t="shared" ca="1" si="195"/>
        <v>10.647860578319627</v>
      </c>
      <c r="T452" s="357">
        <f t="shared" ref="T452:T515" ca="1" si="204">m*g</f>
        <v>104.45551227331553</v>
      </c>
      <c r="U452" s="364">
        <f t="shared" ref="U452:U515" ca="1" si="205">IF(pos_xz&lt;L_rampe,Poids*COS(Beta),0)</f>
        <v>0</v>
      </c>
      <c r="V452" s="359">
        <f t="shared" ref="V452:V515" ca="1" si="206">Rho_moyen*(20000-Alt_rampe-pos_z)/(20000+Alt_rampe+pos_z)</f>
        <v>1.1488922896150673</v>
      </c>
      <c r="W452" s="357">
        <f t="shared" ref="W452:W515" ca="1" si="207">1/2*Rho*Sref*Cx*vit_xz^2</f>
        <v>162.90841432042868</v>
      </c>
      <c r="X452" s="343"/>
      <c r="Y452" s="367" t="str">
        <f t="shared" ca="1" si="196"/>
        <v/>
      </c>
      <c r="Z452" s="368" t="str">
        <f t="shared" ca="1" si="197"/>
        <v/>
      </c>
      <c r="AA452" s="369" t="str">
        <f t="shared" ca="1" si="198"/>
        <v/>
      </c>
      <c r="AB452" s="344"/>
      <c r="AC452" s="363" t="e">
        <f t="shared" ca="1" si="199"/>
        <v>#N/A</v>
      </c>
      <c r="AD452" s="376" t="e">
        <f t="shared" ca="1" si="200"/>
        <v>#N/A</v>
      </c>
      <c r="AE452" s="377">
        <f t="shared" ref="AE452:AE515" ca="1" si="208">IF(t&lt;T_para, pos_z, NA())</f>
        <v>641.20609614746934</v>
      </c>
      <c r="AF452" s="344"/>
      <c r="AG452" s="359">
        <f t="shared" ca="1" si="201"/>
        <v>-6.66111976415886</v>
      </c>
      <c r="AH452" s="357">
        <f t="shared" ca="1" si="202"/>
        <v>2.8500438936129697</v>
      </c>
    </row>
    <row r="453" spans="1:34" x14ac:dyDescent="0.25">
      <c r="A453" s="402">
        <f t="shared" ref="A453:A516" ca="1" si="209">IF(B452+0.01&lt;=T_ini+ROUNDUP(Temps_fin_propu,0), 0.01, IF(K452&gt;0, 0.1, 0.0001))</f>
        <v>0.01</v>
      </c>
      <c r="B453" s="357">
        <f t="shared" ref="B453:B516" ca="1" si="210">B452+pas</f>
        <v>4.4899999999999487</v>
      </c>
      <c r="C453" s="342"/>
      <c r="D453" s="359">
        <f t="shared" ref="D453:D516" ca="1" si="211">IF(AND(L452&lt;L_rampe,Poussee&lt;Poids*SIN(M452)),0,(-W452+Poussee)/m*COS(M452)-U452/m*SIN(M452))</f>
        <v>0.42934383521693442</v>
      </c>
      <c r="E453" s="360">
        <f t="shared" ref="E453:E516" ca="1" si="212">IF(AND(L452&lt;L_rampe,Poussee&lt;Poids*SIN(M452)),0,(-W452+Poussee)/m*SIN(M452)+U452/m*COS(M452)-Poids/m)</f>
        <v>-8.1112509393817405</v>
      </c>
      <c r="F453" s="357">
        <f t="shared" ref="F453:F516" ca="1" si="213">SQRT(acc_x^2+acc_z^2)</f>
        <v>8.1226059814852487</v>
      </c>
      <c r="G453" s="359">
        <f t="shared" ref="G453:G516" ca="1" si="214">G452+acc_x*pas</f>
        <v>61.065038098096736</v>
      </c>
      <c r="H453" s="360">
        <f t="shared" ref="H453:H516" ca="1" si="215">H452+acc_z*pas</f>
        <v>241.51285978785023</v>
      </c>
      <c r="I453" s="357">
        <f t="shared" ref="I453:I516" ca="1" si="216">SQRT(vit_x^2+vit_z^2)</f>
        <v>249.11322791218416</v>
      </c>
      <c r="J453" s="359">
        <f t="shared" ref="J453:J516" ca="1" si="217">J452+0.5*(vit_x+G452)*pas*(K452&gt;=0)</f>
        <v>150.28631997357698</v>
      </c>
      <c r="K453" s="360">
        <f t="shared" ref="K453:K516" ca="1" si="218">K452+0.5*(vit_z+H452)*pas</f>
        <v>643.62163030789486</v>
      </c>
      <c r="L453" s="357">
        <f t="shared" ca="1" si="203"/>
        <v>660.93477815242318</v>
      </c>
      <c r="M453" s="359">
        <f t="shared" ref="M453:M516" ca="1" si="219">IF(AND(L452&gt;L_rampe,G453&gt;0),ATAN2(G453,H453),$M$4)</f>
        <v>1.3231429075778369</v>
      </c>
      <c r="N453" s="357">
        <f t="shared" ref="N453:N516" ca="1" si="220">DEGREES(Beta)</f>
        <v>75.810504296878406</v>
      </c>
      <c r="O453" s="343"/>
      <c r="P453" s="363">
        <f t="shared" ref="P453:P516" ca="1" si="221">MATCH(t-pas/2-T_ini,CdP_t)</f>
        <v>18</v>
      </c>
      <c r="Q453" s="357">
        <f t="shared" ref="Q453:Q516" ca="1" si="222">(INDEX(CdP,2,i_P+1)-INDEX(CdP,2,i_P+0))/(INDEX(CdP,1,i_P+1)-INDEX(CdP,1,i_P+0))*(t-pas/2-T_ini-INDEX(CdP,1,i_P+0))+INDEX(CdP,2,i_P+0)</f>
        <v>181.56363636369656</v>
      </c>
      <c r="R453" s="359">
        <f t="shared" ref="R453:R516" ca="1" si="223">Poussee/(g*ISP)</f>
        <v>9.0951082857272603E-2</v>
      </c>
      <c r="S453" s="360">
        <f t="shared" ref="S453:S516" ca="1" si="224">S452-Débit*pas</f>
        <v>10.646951067491054</v>
      </c>
      <c r="T453" s="357">
        <f t="shared" ca="1" si="204"/>
        <v>104.44658997208725</v>
      </c>
      <c r="U453" s="364">
        <f t="shared" ca="1" si="205"/>
        <v>0</v>
      </c>
      <c r="V453" s="359">
        <f t="shared" ca="1" si="206"/>
        <v>1.1486145177191556</v>
      </c>
      <c r="W453" s="357">
        <f t="shared" ca="1" si="207"/>
        <v>162.76762336971447</v>
      </c>
      <c r="X453" s="343"/>
      <c r="Y453" s="367" t="str">
        <f t="shared" ref="Y453:Y516" ca="1" si="225">IF(AND(pos_z&lt;=0,K452&gt;0),"Impact balistique","") &amp; IF(AND(H454&lt;0,vit_z&gt;=0),"Apogée","") &amp; IF(AND(Poussee=0,Q452&gt;0),"Fin de propulsion","") &amp; IF(AND(L454&gt;L_rampe,pos_xz&lt;=L_rampe),"Sortie de rampe","")</f>
        <v/>
      </c>
      <c r="Z453" s="368" t="str">
        <f t="shared" ref="Z453:Z516" ca="1" si="226">IF(ABS(t-T_para)&lt;pas/2,"Para","")</f>
        <v/>
      </c>
      <c r="AA453" s="369" t="str">
        <f t="shared" ref="AA453:AA516" ca="1" si="227">IF(ABS(t-T_satellite)&lt;pas/2,"Satellite","")</f>
        <v/>
      </c>
      <c r="AB453" s="344"/>
      <c r="AC453" s="363" t="e">
        <f t="shared" ref="AC453:AC516" ca="1" si="228">IF(ABS(t-ROUND(t,0))&lt;0.001,t,NA())</f>
        <v>#N/A</v>
      </c>
      <c r="AD453" s="376" t="e">
        <f t="shared" ref="AD453:AD516" ca="1" si="229">IF(ABS(t-ROUND(t,0))&lt;0.001,pos_x,NA())</f>
        <v>#N/A</v>
      </c>
      <c r="AE453" s="377">
        <f t="shared" ca="1" si="208"/>
        <v>643.62163030789486</v>
      </c>
      <c r="AF453" s="344"/>
      <c r="AG453" s="359">
        <f t="shared" ref="AG453:AG516" ca="1" si="230">IF(AND(L452&lt;L_rampe,Poussee&lt;Poids*SIN(M452)),0,(-W452+Poussee)/m-Poids*SIN(M452)/m)</f>
        <v>-7.7587662490336129</v>
      </c>
      <c r="AH453" s="357">
        <f t="shared" ref="AH453:AH516" ca="1" si="231">IF(AND(L452&lt;L_rampe,Poussee&lt;Poids*SIN(M452)), g*SIN(M452), (-W452+Poussee)/m)</f>
        <v>1.7521656599163813</v>
      </c>
    </row>
    <row r="454" spans="1:34" x14ac:dyDescent="0.25">
      <c r="A454" s="402">
        <f t="shared" ca="1" si="209"/>
        <v>0.01</v>
      </c>
      <c r="B454" s="357">
        <f t="shared" ca="1" si="210"/>
        <v>4.4999999999999485</v>
      </c>
      <c r="C454" s="342"/>
      <c r="D454" s="359">
        <f t="shared" ca="1" si="211"/>
        <v>0.16066664643057288</v>
      </c>
      <c r="E454" s="360">
        <f t="shared" ca="1" si="212"/>
        <v>-9.1745617449769448</v>
      </c>
      <c r="F454" s="357">
        <f t="shared" ca="1" si="213"/>
        <v>9.1759684493610614</v>
      </c>
      <c r="G454" s="359">
        <f t="shared" ca="1" si="214"/>
        <v>61.06664476456104</v>
      </c>
      <c r="H454" s="360">
        <f t="shared" ca="1" si="215"/>
        <v>241.42111417040047</v>
      </c>
      <c r="I454" s="357">
        <f t="shared" ca="1" si="216"/>
        <v>249.02467642801713</v>
      </c>
      <c r="J454" s="359">
        <f t="shared" ca="1" si="217"/>
        <v>150.89697838789027</v>
      </c>
      <c r="K454" s="360">
        <f t="shared" ca="1" si="218"/>
        <v>646.03630017768614</v>
      </c>
      <c r="L454" s="357">
        <f t="shared" ca="1" si="203"/>
        <v>663.4250517080801</v>
      </c>
      <c r="M454" s="359">
        <f t="shared" ca="1" si="219"/>
        <v>1.3230463419726093</v>
      </c>
      <c r="N454" s="357">
        <f t="shared" ca="1" si="220"/>
        <v>75.80497149525273</v>
      </c>
      <c r="O454" s="343"/>
      <c r="P454" s="363">
        <f t="shared" ca="1" si="221"/>
        <v>18</v>
      </c>
      <c r="Q454" s="357">
        <f t="shared" ca="1" si="222"/>
        <v>169.74545454551495</v>
      </c>
      <c r="R454" s="359">
        <f t="shared" ca="1" si="223"/>
        <v>8.5030974319599203E-2</v>
      </c>
      <c r="S454" s="360">
        <f t="shared" ca="1" si="224"/>
        <v>10.646100757747858</v>
      </c>
      <c r="T454" s="357">
        <f t="shared" ca="1" si="204"/>
        <v>104.43824843350649</v>
      </c>
      <c r="U454" s="364">
        <f t="shared" ca="1" si="205"/>
        <v>0</v>
      </c>
      <c r="V454" s="359">
        <f t="shared" ca="1" si="206"/>
        <v>1.1483369101738088</v>
      </c>
      <c r="W454" s="357">
        <f t="shared" ca="1" si="207"/>
        <v>162.61261577233952</v>
      </c>
      <c r="X454" s="343"/>
      <c r="Y454" s="367" t="str">
        <f t="shared" ca="1" si="225"/>
        <v/>
      </c>
      <c r="Z454" s="368" t="str">
        <f t="shared" ca="1" si="226"/>
        <v/>
      </c>
      <c r="AA454" s="369" t="str">
        <f t="shared" ca="1" si="227"/>
        <v/>
      </c>
      <c r="AB454" s="344"/>
      <c r="AC454" s="363" t="e">
        <f t="shared" ca="1" si="228"/>
        <v>#N/A</v>
      </c>
      <c r="AD454" s="376" t="e">
        <f t="shared" ca="1" si="229"/>
        <v>#N/A</v>
      </c>
      <c r="AE454" s="377">
        <f t="shared" ca="1" si="208"/>
        <v>646.03630017768614</v>
      </c>
      <c r="AF454" s="344"/>
      <c r="AG454" s="359">
        <f t="shared" ca="1" si="230"/>
        <v>-8.8552645234152223</v>
      </c>
      <c r="AH454" s="357">
        <f t="shared" ca="1" si="231"/>
        <v>0.65543538752648522</v>
      </c>
    </row>
    <row r="455" spans="1:34" x14ac:dyDescent="0.25">
      <c r="A455" s="402">
        <f t="shared" ca="1" si="209"/>
        <v>0.01</v>
      </c>
      <c r="B455" s="357">
        <f t="shared" ca="1" si="210"/>
        <v>4.5099999999999483</v>
      </c>
      <c r="C455" s="342"/>
      <c r="D455" s="359">
        <f t="shared" ca="1" si="211"/>
        <v>-0.10793064431898752</v>
      </c>
      <c r="E455" s="360">
        <f t="shared" ca="1" si="212"/>
        <v>-10.236693434772443</v>
      </c>
      <c r="F455" s="357">
        <f t="shared" ca="1" si="213"/>
        <v>10.237262402688344</v>
      </c>
      <c r="G455" s="359">
        <f t="shared" ca="1" si="214"/>
        <v>61.065565458117852</v>
      </c>
      <c r="H455" s="360">
        <f t="shared" ca="1" si="215"/>
        <v>241.31874723605276</v>
      </c>
      <c r="I455" s="357">
        <f t="shared" ca="1" si="216"/>
        <v>248.92517159238355</v>
      </c>
      <c r="J455" s="359">
        <f t="shared" ca="1" si="217"/>
        <v>151.50763943900367</v>
      </c>
      <c r="K455" s="360">
        <f t="shared" ca="1" si="218"/>
        <v>648.44999948471843</v>
      </c>
      <c r="L455" s="357">
        <f t="shared" ca="1" si="203"/>
        <v>665.91438386635741</v>
      </c>
      <c r="M455" s="359">
        <f t="shared" ca="1" si="219"/>
        <v>1.322949700872013</v>
      </c>
      <c r="N455" s="357">
        <f t="shared" ca="1" si="220"/>
        <v>75.799434368061071</v>
      </c>
      <c r="O455" s="343"/>
      <c r="P455" s="363">
        <f t="shared" ca="1" si="221"/>
        <v>18</v>
      </c>
      <c r="Q455" s="357">
        <f t="shared" ca="1" si="222"/>
        <v>157.92727272733333</v>
      </c>
      <c r="R455" s="359">
        <f t="shared" ca="1" si="223"/>
        <v>7.9110865781925804E-2</v>
      </c>
      <c r="S455" s="360">
        <f t="shared" ca="1" si="224"/>
        <v>10.645309649090038</v>
      </c>
      <c r="T455" s="357">
        <f t="shared" ca="1" si="204"/>
        <v>104.43048765757328</v>
      </c>
      <c r="U455" s="364">
        <f t="shared" ca="1" si="205"/>
        <v>0</v>
      </c>
      <c r="V455" s="359">
        <f t="shared" ca="1" si="206"/>
        <v>1.1480594791000196</v>
      </c>
      <c r="W455" s="357">
        <f t="shared" ca="1" si="207"/>
        <v>162.44343400845054</v>
      </c>
      <c r="X455" s="343"/>
      <c r="Y455" s="367" t="str">
        <f t="shared" ca="1" si="225"/>
        <v/>
      </c>
      <c r="Z455" s="368" t="str">
        <f t="shared" ca="1" si="226"/>
        <v/>
      </c>
      <c r="AA455" s="369" t="str">
        <f t="shared" ca="1" si="227"/>
        <v/>
      </c>
      <c r="AB455" s="344"/>
      <c r="AC455" s="363" t="e">
        <f t="shared" ca="1" si="228"/>
        <v>#N/A</v>
      </c>
      <c r="AD455" s="376" t="e">
        <f t="shared" ca="1" si="229"/>
        <v>#N/A</v>
      </c>
      <c r="AE455" s="377">
        <f t="shared" ca="1" si="208"/>
        <v>648.44999948471843</v>
      </c>
      <c r="AF455" s="344"/>
      <c r="AG455" s="359">
        <f t="shared" ca="1" si="230"/>
        <v>-9.9505998052192925</v>
      </c>
      <c r="AH455" s="357">
        <f t="shared" ca="1" si="231"/>
        <v>-0.44013215204188033</v>
      </c>
    </row>
    <row r="456" spans="1:34" x14ac:dyDescent="0.25">
      <c r="A456" s="402">
        <f t="shared" ca="1" si="209"/>
        <v>0.01</v>
      </c>
      <c r="B456" s="357">
        <f t="shared" ca="1" si="210"/>
        <v>4.5199999999999481</v>
      </c>
      <c r="C456" s="342"/>
      <c r="D456" s="359">
        <f t="shared" ca="1" si="211"/>
        <v>-0.37644436732716746</v>
      </c>
      <c r="E456" s="360">
        <f t="shared" ca="1" si="212"/>
        <v>-11.297631899351947</v>
      </c>
      <c r="F456" s="357">
        <f t="shared" ca="1" si="213"/>
        <v>11.303901843830166</v>
      </c>
      <c r="G456" s="359">
        <f t="shared" ca="1" si="214"/>
        <v>61.061801014444583</v>
      </c>
      <c r="H456" s="360">
        <f t="shared" ca="1" si="215"/>
        <v>241.20577091705923</v>
      </c>
      <c r="I456" s="357">
        <f t="shared" ca="1" si="216"/>
        <v>248.81472518084712</v>
      </c>
      <c r="J456" s="359">
        <f t="shared" ca="1" si="217"/>
        <v>152.11827627136648</v>
      </c>
      <c r="K456" s="360">
        <f t="shared" ca="1" si="218"/>
        <v>650.86262207548396</v>
      </c>
      <c r="L456" s="357">
        <f t="shared" ca="1" si="203"/>
        <v>668.40266515832059</v>
      </c>
      <c r="M456" s="359">
        <f t="shared" ca="1" si="219"/>
        <v>1.3228529799346185</v>
      </c>
      <c r="N456" s="357">
        <f t="shared" ca="1" si="220"/>
        <v>75.793892666557809</v>
      </c>
      <c r="O456" s="343"/>
      <c r="P456" s="363">
        <f t="shared" ca="1" si="221"/>
        <v>18</v>
      </c>
      <c r="Q456" s="357">
        <f t="shared" ca="1" si="222"/>
        <v>146.10909090915169</v>
      </c>
      <c r="R456" s="359">
        <f t="shared" ca="1" si="223"/>
        <v>7.3190757244252391E-2</v>
      </c>
      <c r="S456" s="360">
        <f t="shared" ca="1" si="224"/>
        <v>10.644577741517596</v>
      </c>
      <c r="T456" s="357">
        <f t="shared" ca="1" si="204"/>
        <v>104.42330764428762</v>
      </c>
      <c r="U456" s="364">
        <f t="shared" ca="1" si="205"/>
        <v>0</v>
      </c>
      <c r="V456" s="359">
        <f t="shared" ca="1" si="206"/>
        <v>1.1477822365938206</v>
      </c>
      <c r="W456" s="357">
        <f t="shared" ca="1" si="207"/>
        <v>162.26012256055222</v>
      </c>
      <c r="X456" s="343"/>
      <c r="Y456" s="367" t="str">
        <f t="shared" ca="1" si="225"/>
        <v/>
      </c>
      <c r="Z456" s="368" t="str">
        <f t="shared" ca="1" si="226"/>
        <v/>
      </c>
      <c r="AA456" s="369" t="str">
        <f t="shared" ca="1" si="227"/>
        <v/>
      </c>
      <c r="AB456" s="344"/>
      <c r="AC456" s="363" t="e">
        <f t="shared" ca="1" si="228"/>
        <v>#N/A</v>
      </c>
      <c r="AD456" s="376" t="e">
        <f t="shared" ca="1" si="229"/>
        <v>#N/A</v>
      </c>
      <c r="AE456" s="377">
        <f t="shared" ca="1" si="208"/>
        <v>650.86262207548396</v>
      </c>
      <c r="AF456" s="344"/>
      <c r="AG456" s="359">
        <f t="shared" ca="1" si="230"/>
        <v>-11.044757535979771</v>
      </c>
      <c r="AH456" s="357">
        <f t="shared" ca="1" si="231"/>
        <v>-1.5345224109350217</v>
      </c>
    </row>
    <row r="457" spans="1:34" x14ac:dyDescent="0.25">
      <c r="A457" s="402">
        <f t="shared" ca="1" si="209"/>
        <v>0.01</v>
      </c>
      <c r="B457" s="357">
        <f t="shared" ca="1" si="210"/>
        <v>4.5299999999999478</v>
      </c>
      <c r="C457" s="342"/>
      <c r="D457" s="359">
        <f t="shared" ca="1" si="211"/>
        <v>-0.5998458822814785</v>
      </c>
      <c r="E457" s="360">
        <f t="shared" ca="1" si="212"/>
        <v>-12.179505747675231</v>
      </c>
      <c r="F457" s="357">
        <f t="shared" ca="1" si="213"/>
        <v>12.194268134666551</v>
      </c>
      <c r="G457" s="359">
        <f t="shared" ca="1" si="214"/>
        <v>61.055802555621767</v>
      </c>
      <c r="H457" s="360">
        <f t="shared" ca="1" si="215"/>
        <v>241.08397585958247</v>
      </c>
      <c r="I457" s="357">
        <f t="shared" ca="1" si="216"/>
        <v>248.69518379328301</v>
      </c>
      <c r="J457" s="359">
        <f t="shared" ca="1" si="217"/>
        <v>152.7288642892168</v>
      </c>
      <c r="K457" s="360">
        <f t="shared" ca="1" si="218"/>
        <v>653.27407080936712</v>
      </c>
      <c r="L457" s="357">
        <f t="shared" ca="1" si="203"/>
        <v>670.88979540526327</v>
      </c>
      <c r="M457" s="359">
        <f t="shared" ca="1" si="219"/>
        <v>1.3227561755198085</v>
      </c>
      <c r="N457" s="357">
        <f t="shared" ca="1" si="220"/>
        <v>75.788346182150974</v>
      </c>
      <c r="O457" s="343"/>
      <c r="P457" s="363">
        <f t="shared" ca="1" si="221"/>
        <v>19</v>
      </c>
      <c r="Q457" s="357">
        <f t="shared" ca="1" si="222"/>
        <v>136.24375000004085</v>
      </c>
      <c r="R457" s="359">
        <f t="shared" ca="1" si="223"/>
        <v>6.82488897182989E-2</v>
      </c>
      <c r="S457" s="360">
        <f t="shared" ca="1" si="224"/>
        <v>10.643895252620412</v>
      </c>
      <c r="T457" s="357">
        <f t="shared" ca="1" si="204"/>
        <v>104.41661242820625</v>
      </c>
      <c r="U457" s="364">
        <f t="shared" ca="1" si="205"/>
        <v>0</v>
      </c>
      <c r="V457" s="359">
        <f t="shared" ca="1" si="206"/>
        <v>1.1475051937046115</v>
      </c>
      <c r="W457" s="357">
        <f t="shared" ca="1" si="207"/>
        <v>162.06511892895179</v>
      </c>
      <c r="X457" s="343"/>
      <c r="Y457" s="367" t="str">
        <f t="shared" ca="1" si="225"/>
        <v/>
      </c>
      <c r="Z457" s="368" t="str">
        <f t="shared" ca="1" si="226"/>
        <v/>
      </c>
      <c r="AA457" s="369" t="str">
        <f t="shared" ca="1" si="227"/>
        <v/>
      </c>
      <c r="AB457" s="344"/>
      <c r="AC457" s="363" t="e">
        <f t="shared" ca="1" si="228"/>
        <v>#N/A</v>
      </c>
      <c r="AD457" s="376" t="e">
        <f t="shared" ca="1" si="229"/>
        <v>#N/A</v>
      </c>
      <c r="AE457" s="377">
        <f t="shared" ca="1" si="208"/>
        <v>653.27407080936712</v>
      </c>
      <c r="AF457" s="344"/>
      <c r="AG457" s="359">
        <f t="shared" ca="1" si="230"/>
        <v>-11.954255283717917</v>
      </c>
      <c r="AH457" s="357">
        <f t="shared" ca="1" si="231"/>
        <v>-2.4442529678320932</v>
      </c>
    </row>
    <row r="458" spans="1:34" x14ac:dyDescent="0.25">
      <c r="A458" s="402">
        <f t="shared" ca="1" si="209"/>
        <v>0.01</v>
      </c>
      <c r="B458" s="357">
        <f t="shared" ca="1" si="210"/>
        <v>4.5399999999999476</v>
      </c>
      <c r="C458" s="342"/>
      <c r="D458" s="359">
        <f t="shared" ca="1" si="211"/>
        <v>-0.77812856983950507</v>
      </c>
      <c r="E458" s="360">
        <f t="shared" ca="1" si="212"/>
        <v>-12.882506158213882</v>
      </c>
      <c r="F458" s="357">
        <f t="shared" ca="1" si="213"/>
        <v>12.905985006485134</v>
      </c>
      <c r="G458" s="359">
        <f t="shared" ca="1" si="214"/>
        <v>61.048021269923375</v>
      </c>
      <c r="H458" s="360">
        <f t="shared" ca="1" si="215"/>
        <v>240.95515079800032</v>
      </c>
      <c r="I458" s="357">
        <f t="shared" ca="1" si="216"/>
        <v>248.56839219228999</v>
      </c>
      <c r="J458" s="359">
        <f t="shared" ca="1" si="217"/>
        <v>153.33938340834453</v>
      </c>
      <c r="K458" s="360">
        <f t="shared" ca="1" si="218"/>
        <v>655.68426644265503</v>
      </c>
      <c r="L458" s="357">
        <f t="shared" ca="1" si="203"/>
        <v>673.37569288213388</v>
      </c>
      <c r="M458" s="359">
        <f t="shared" ca="1" si="219"/>
        <v>1.3226592846902461</v>
      </c>
      <c r="N458" s="357">
        <f t="shared" ca="1" si="220"/>
        <v>75.782794746543516</v>
      </c>
      <c r="O458" s="343"/>
      <c r="P458" s="363">
        <f t="shared" ca="1" si="221"/>
        <v>19</v>
      </c>
      <c r="Q458" s="357">
        <f t="shared" ca="1" si="222"/>
        <v>128.33125000004102</v>
      </c>
      <c r="R458" s="359">
        <f t="shared" ca="1" si="223"/>
        <v>6.4285263204085466E-2</v>
      </c>
      <c r="S458" s="360">
        <f t="shared" ca="1" si="224"/>
        <v>10.643252399988372</v>
      </c>
      <c r="T458" s="357">
        <f t="shared" ca="1" si="204"/>
        <v>104.41030604388592</v>
      </c>
      <c r="U458" s="364">
        <f t="shared" ca="1" si="205"/>
        <v>0</v>
      </c>
      <c r="V458" s="359">
        <f t="shared" ca="1" si="206"/>
        <v>1.1472283594160899</v>
      </c>
      <c r="W458" s="357">
        <f t="shared" ca="1" si="207"/>
        <v>161.86085243607022</v>
      </c>
      <c r="X458" s="343"/>
      <c r="Y458" s="367" t="str">
        <f t="shared" ca="1" si="225"/>
        <v/>
      </c>
      <c r="Z458" s="368" t="str">
        <f t="shared" ca="1" si="226"/>
        <v/>
      </c>
      <c r="AA458" s="369" t="str">
        <f t="shared" ca="1" si="227"/>
        <v/>
      </c>
      <c r="AB458" s="344"/>
      <c r="AC458" s="363" t="e">
        <f t="shared" ca="1" si="228"/>
        <v>#N/A</v>
      </c>
      <c r="AD458" s="376" t="e">
        <f t="shared" ca="1" si="229"/>
        <v>#N/A</v>
      </c>
      <c r="AE458" s="377">
        <f t="shared" ca="1" si="208"/>
        <v>655.68426644265503</v>
      </c>
      <c r="AF458" s="344"/>
      <c r="AG458" s="359">
        <f t="shared" ca="1" si="230"/>
        <v>-12.67927677522613</v>
      </c>
      <c r="AH458" s="357">
        <f t="shared" ca="1" si="231"/>
        <v>-3.1695075585116843</v>
      </c>
    </row>
    <row r="459" spans="1:34" x14ac:dyDescent="0.25">
      <c r="A459" s="402">
        <f t="shared" ca="1" si="209"/>
        <v>0.01</v>
      </c>
      <c r="B459" s="357">
        <f t="shared" ca="1" si="210"/>
        <v>4.5499999999999474</v>
      </c>
      <c r="C459" s="342"/>
      <c r="D459" s="359">
        <f t="shared" ca="1" si="211"/>
        <v>-0.9563518931586602</v>
      </c>
      <c r="E459" s="360">
        <f t="shared" ca="1" si="212"/>
        <v>-13.584699160405522</v>
      </c>
      <c r="F459" s="357">
        <f t="shared" ca="1" si="213"/>
        <v>13.618320756329345</v>
      </c>
      <c r="G459" s="359">
        <f t="shared" ca="1" si="214"/>
        <v>61.038457750991789</v>
      </c>
      <c r="H459" s="360">
        <f t="shared" ca="1" si="215"/>
        <v>240.81930380639625</v>
      </c>
      <c r="I459" s="357">
        <f t="shared" ca="1" si="216"/>
        <v>248.43435835330223</v>
      </c>
      <c r="J459" s="359">
        <f t="shared" ca="1" si="217"/>
        <v>153.9498158034491</v>
      </c>
      <c r="K459" s="360">
        <f t="shared" ca="1" si="218"/>
        <v>658.09313871567701</v>
      </c>
      <c r="L459" s="357">
        <f t="shared" ca="1" si="203"/>
        <v>675.86028512597727</v>
      </c>
      <c r="M459" s="359">
        <f t="shared" ca="1" si="219"/>
        <v>1.3225623044985224</v>
      </c>
      <c r="N459" s="357">
        <f t="shared" ca="1" si="220"/>
        <v>75.777238190861382</v>
      </c>
      <c r="O459" s="343"/>
      <c r="P459" s="363">
        <f t="shared" ca="1" si="221"/>
        <v>19</v>
      </c>
      <c r="Q459" s="357">
        <f t="shared" ca="1" si="222"/>
        <v>120.4187500000412</v>
      </c>
      <c r="R459" s="359">
        <f t="shared" ca="1" si="223"/>
        <v>6.0321636689872032E-2</v>
      </c>
      <c r="S459" s="360">
        <f t="shared" ca="1" si="224"/>
        <v>10.642649183621472</v>
      </c>
      <c r="T459" s="357">
        <f t="shared" ca="1" si="204"/>
        <v>104.40438849132664</v>
      </c>
      <c r="U459" s="364">
        <f t="shared" ca="1" si="205"/>
        <v>0</v>
      </c>
      <c r="V459" s="359">
        <f t="shared" ca="1" si="206"/>
        <v>1.1469517416720463</v>
      </c>
      <c r="W459" s="357">
        <f t="shared" ca="1" si="207"/>
        <v>161.64735571707544</v>
      </c>
      <c r="X459" s="343"/>
      <c r="Y459" s="367" t="str">
        <f t="shared" ca="1" si="225"/>
        <v/>
      </c>
      <c r="Z459" s="368" t="str">
        <f t="shared" ca="1" si="226"/>
        <v/>
      </c>
      <c r="AA459" s="369" t="str">
        <f t="shared" ca="1" si="227"/>
        <v/>
      </c>
      <c r="AB459" s="344"/>
      <c r="AC459" s="363" t="e">
        <f t="shared" ca="1" si="228"/>
        <v>#N/A</v>
      </c>
      <c r="AD459" s="376" t="e">
        <f t="shared" ca="1" si="229"/>
        <v>#N/A</v>
      </c>
      <c r="AE459" s="377">
        <f t="shared" ca="1" si="208"/>
        <v>658.09313871567701</v>
      </c>
      <c r="AF459" s="344"/>
      <c r="AG459" s="359">
        <f t="shared" ca="1" si="230"/>
        <v>-13.403500726989872</v>
      </c>
      <c r="AH459" s="357">
        <f t="shared" ca="1" si="231"/>
        <v>-3.8939649067646078</v>
      </c>
    </row>
    <row r="460" spans="1:34" x14ac:dyDescent="0.25">
      <c r="A460" s="402">
        <f t="shared" ca="1" si="209"/>
        <v>0.01</v>
      </c>
      <c r="B460" s="357">
        <f t="shared" ca="1" si="210"/>
        <v>4.5599999999999472</v>
      </c>
      <c r="C460" s="342"/>
      <c r="D460" s="359">
        <f t="shared" ca="1" si="211"/>
        <v>-1.1345145491487469</v>
      </c>
      <c r="E460" s="360">
        <f t="shared" ca="1" si="212"/>
        <v>-14.286079736464007</v>
      </c>
      <c r="F460" s="357">
        <f t="shared" ca="1" si="213"/>
        <v>14.331057096349792</v>
      </c>
      <c r="G460" s="359">
        <f t="shared" ca="1" si="214"/>
        <v>61.027112605500299</v>
      </c>
      <c r="H460" s="360">
        <f t="shared" ca="1" si="215"/>
        <v>240.6764430090316</v>
      </c>
      <c r="I460" s="357">
        <f t="shared" ca="1" si="216"/>
        <v>248.29309030346383</v>
      </c>
      <c r="J460" s="359">
        <f t="shared" ca="1" si="217"/>
        <v>154.56014365523157</v>
      </c>
      <c r="K460" s="360">
        <f t="shared" ca="1" si="218"/>
        <v>660.50061744975415</v>
      </c>
      <c r="L460" s="357">
        <f t="shared" ca="1" si="203"/>
        <v>678.34349975379905</v>
      </c>
      <c r="M460" s="359">
        <f t="shared" ca="1" si="219"/>
        <v>1.3224652319866486</v>
      </c>
      <c r="N460" s="357">
        <f t="shared" ca="1" si="220"/>
        <v>75.771676345624286</v>
      </c>
      <c r="O460" s="343"/>
      <c r="P460" s="363">
        <f t="shared" ca="1" si="221"/>
        <v>19</v>
      </c>
      <c r="Q460" s="357">
        <f t="shared" ca="1" si="222"/>
        <v>112.50625000004138</v>
      </c>
      <c r="R460" s="359">
        <f t="shared" ca="1" si="223"/>
        <v>5.6358010175658606E-2</v>
      </c>
      <c r="S460" s="360">
        <f t="shared" ca="1" si="224"/>
        <v>10.642085603519716</v>
      </c>
      <c r="T460" s="357">
        <f t="shared" ca="1" si="204"/>
        <v>104.39885977052842</v>
      </c>
      <c r="U460" s="364">
        <f t="shared" ca="1" si="205"/>
        <v>0</v>
      </c>
      <c r="V460" s="359">
        <f t="shared" ca="1" si="206"/>
        <v>1.1466753483995857</v>
      </c>
      <c r="W460" s="357">
        <f t="shared" ca="1" si="207"/>
        <v>161.42466223501378</v>
      </c>
      <c r="X460" s="343"/>
      <c r="Y460" s="367" t="str">
        <f t="shared" ca="1" si="225"/>
        <v/>
      </c>
      <c r="Z460" s="368" t="str">
        <f t="shared" ca="1" si="226"/>
        <v/>
      </c>
      <c r="AA460" s="369" t="str">
        <f t="shared" ca="1" si="227"/>
        <v/>
      </c>
      <c r="AB460" s="344"/>
      <c r="AC460" s="363" t="e">
        <f t="shared" ca="1" si="228"/>
        <v>#N/A</v>
      </c>
      <c r="AD460" s="376" t="e">
        <f t="shared" ca="1" si="229"/>
        <v>#N/A</v>
      </c>
      <c r="AE460" s="377">
        <f t="shared" ca="1" si="208"/>
        <v>660.50061744975415</v>
      </c>
      <c r="AF460" s="344"/>
      <c r="AG460" s="359">
        <f t="shared" ca="1" si="230"/>
        <v>-14.126921968027288</v>
      </c>
      <c r="AH460" s="357">
        <f t="shared" ca="1" si="231"/>
        <v>-4.6176198489496603</v>
      </c>
    </row>
    <row r="461" spans="1:34" x14ac:dyDescent="0.25">
      <c r="A461" s="402">
        <f t="shared" ca="1" si="209"/>
        <v>0.01</v>
      </c>
      <c r="B461" s="357">
        <f t="shared" ca="1" si="210"/>
        <v>4.569999999999947</v>
      </c>
      <c r="C461" s="342"/>
      <c r="D461" s="359">
        <f t="shared" ca="1" si="211"/>
        <v>-1.3126152639308151</v>
      </c>
      <c r="E461" s="360">
        <f t="shared" ca="1" si="212"/>
        <v>-14.98664295875202</v>
      </c>
      <c r="F461" s="357">
        <f t="shared" ca="1" si="213"/>
        <v>15.044016285693646</v>
      </c>
      <c r="G461" s="359">
        <f t="shared" ca="1" si="214"/>
        <v>61.013986452860991</v>
      </c>
      <c r="H461" s="360">
        <f t="shared" ca="1" si="215"/>
        <v>240.52657657944408</v>
      </c>
      <c r="I461" s="357">
        <f t="shared" ca="1" si="216"/>
        <v>248.14459612068342</v>
      </c>
      <c r="J461" s="359">
        <f t="shared" ca="1" si="217"/>
        <v>155.17034915052338</v>
      </c>
      <c r="K461" s="360">
        <f t="shared" ca="1" si="218"/>
        <v>662.90663254769652</v>
      </c>
      <c r="L461" s="357">
        <f t="shared" ca="1" si="203"/>
        <v>680.82526446307941</v>
      </c>
      <c r="M461" s="359">
        <f t="shared" ca="1" si="219"/>
        <v>1.3223680641855418</v>
      </c>
      <c r="N461" s="357">
        <f t="shared" ca="1" si="220"/>
        <v>75.766109040716287</v>
      </c>
      <c r="O461" s="343"/>
      <c r="P461" s="363">
        <f t="shared" ca="1" si="221"/>
        <v>19</v>
      </c>
      <c r="Q461" s="357">
        <f t="shared" ca="1" si="222"/>
        <v>104.59375000004155</v>
      </c>
      <c r="R461" s="359">
        <f t="shared" ca="1" si="223"/>
        <v>5.2394383661445172E-2</v>
      </c>
      <c r="S461" s="360">
        <f t="shared" ca="1" si="224"/>
        <v>10.641561659683102</v>
      </c>
      <c r="T461" s="357">
        <f t="shared" ca="1" si="204"/>
        <v>104.39371988149124</v>
      </c>
      <c r="U461" s="364">
        <f t="shared" ca="1" si="205"/>
        <v>0</v>
      </c>
      <c r="V461" s="359">
        <f t="shared" ca="1" si="206"/>
        <v>1.1463991875091</v>
      </c>
      <c r="W461" s="357">
        <f t="shared" ca="1" si="207"/>
        <v>161.19280627472307</v>
      </c>
      <c r="X461" s="343"/>
      <c r="Y461" s="367" t="str">
        <f t="shared" ca="1" si="225"/>
        <v/>
      </c>
      <c r="Z461" s="368" t="str">
        <f t="shared" ca="1" si="226"/>
        <v/>
      </c>
      <c r="AA461" s="369" t="str">
        <f t="shared" ca="1" si="227"/>
        <v/>
      </c>
      <c r="AB461" s="344"/>
      <c r="AC461" s="363" t="e">
        <f t="shared" ca="1" si="228"/>
        <v>#N/A</v>
      </c>
      <c r="AD461" s="376" t="e">
        <f t="shared" ca="1" si="229"/>
        <v>#N/A</v>
      </c>
      <c r="AE461" s="377">
        <f t="shared" ca="1" si="208"/>
        <v>662.90663254769652</v>
      </c>
      <c r="AF461" s="344"/>
      <c r="AG461" s="359">
        <f t="shared" ca="1" si="230"/>
        <v>-14.849535421916464</v>
      </c>
      <c r="AH461" s="357">
        <f t="shared" ca="1" si="231"/>
        <v>-5.3404673160221687</v>
      </c>
    </row>
    <row r="462" spans="1:34" x14ac:dyDescent="0.25">
      <c r="A462" s="402">
        <f t="shared" ca="1" si="209"/>
        <v>0.01</v>
      </c>
      <c r="B462" s="357">
        <f t="shared" ca="1" si="210"/>
        <v>4.5799999999999468</v>
      </c>
      <c r="C462" s="342"/>
      <c r="D462" s="359">
        <f t="shared" ca="1" si="211"/>
        <v>-1.4906527928052549</v>
      </c>
      <c r="E462" s="360">
        <f t="shared" ca="1" si="212"/>
        <v>-15.686383989415972</v>
      </c>
      <c r="F462" s="357">
        <f t="shared" ca="1" si="213"/>
        <v>15.75705202162206</v>
      </c>
      <c r="G462" s="359">
        <f t="shared" ca="1" si="214"/>
        <v>60.999079924932936</v>
      </c>
      <c r="H462" s="360">
        <f t="shared" ca="1" si="215"/>
        <v>240.36971273954993</v>
      </c>
      <c r="I462" s="357">
        <f t="shared" ca="1" si="216"/>
        <v>247.98888393269183</v>
      </c>
      <c r="J462" s="359">
        <f t="shared" ca="1" si="217"/>
        <v>155.78041448241234</v>
      </c>
      <c r="K462" s="360">
        <f t="shared" ca="1" si="218"/>
        <v>665.31111399429153</v>
      </c>
      <c r="L462" s="357">
        <f t="shared" ca="1" si="203"/>
        <v>683.30550703227709</v>
      </c>
      <c r="M462" s="359">
        <f t="shared" ca="1" si="219"/>
        <v>1.3222707981145077</v>
      </c>
      <c r="N462" s="357">
        <f t="shared" ca="1" si="220"/>
        <v>75.760536105356223</v>
      </c>
      <c r="O462" s="343"/>
      <c r="P462" s="363">
        <f t="shared" ca="1" si="221"/>
        <v>19</v>
      </c>
      <c r="Q462" s="357">
        <f t="shared" ca="1" si="222"/>
        <v>96.681250000041729</v>
      </c>
      <c r="R462" s="359">
        <f t="shared" ca="1" si="223"/>
        <v>4.8430757147231746E-2</v>
      </c>
      <c r="S462" s="360">
        <f t="shared" ca="1" si="224"/>
        <v>10.64107735211163</v>
      </c>
      <c r="T462" s="357">
        <f t="shared" ca="1" si="204"/>
        <v>104.3889688242151</v>
      </c>
      <c r="U462" s="364">
        <f t="shared" ca="1" si="205"/>
        <v>0</v>
      </c>
      <c r="V462" s="359">
        <f t="shared" ca="1" si="206"/>
        <v>1.1461232668942405</v>
      </c>
      <c r="W462" s="357">
        <f t="shared" ca="1" si="207"/>
        <v>160.95182293674338</v>
      </c>
      <c r="X462" s="343"/>
      <c r="Y462" s="367" t="str">
        <f t="shared" ca="1" si="225"/>
        <v/>
      </c>
      <c r="Z462" s="368" t="str">
        <f t="shared" ca="1" si="226"/>
        <v/>
      </c>
      <c r="AA462" s="369" t="str">
        <f t="shared" ca="1" si="227"/>
        <v/>
      </c>
      <c r="AB462" s="344"/>
      <c r="AC462" s="363" t="e">
        <f t="shared" ca="1" si="228"/>
        <v>#N/A</v>
      </c>
      <c r="AD462" s="376" t="e">
        <f t="shared" ca="1" si="229"/>
        <v>#N/A</v>
      </c>
      <c r="AE462" s="377">
        <f t="shared" ca="1" si="208"/>
        <v>665.31111399429153</v>
      </c>
      <c r="AF462" s="344"/>
      <c r="AG462" s="359">
        <f t="shared" ca="1" si="230"/>
        <v>-15.571336106435961</v>
      </c>
      <c r="AH462" s="357">
        <f t="shared" ca="1" si="231"/>
        <v>-6.0625023331758392</v>
      </c>
    </row>
    <row r="463" spans="1:34" x14ac:dyDescent="0.25">
      <c r="A463" s="402">
        <f t="shared" ca="1" si="209"/>
        <v>0.01</v>
      </c>
      <c r="B463" s="357">
        <f t="shared" ca="1" si="210"/>
        <v>4.5899999999999466</v>
      </c>
      <c r="C463" s="342"/>
      <c r="D463" s="359">
        <f t="shared" ca="1" si="211"/>
        <v>-1.6686259202201972</v>
      </c>
      <c r="E463" s="360">
        <f t="shared" ca="1" si="212"/>
        <v>-16.385298080015048</v>
      </c>
      <c r="F463" s="357">
        <f t="shared" ca="1" si="213"/>
        <v>16.470042672457637</v>
      </c>
      <c r="G463" s="359">
        <f t="shared" ca="1" si="214"/>
        <v>60.982393665730733</v>
      </c>
      <c r="H463" s="360">
        <f t="shared" ca="1" si="215"/>
        <v>240.20585975874977</v>
      </c>
      <c r="I463" s="357">
        <f t="shared" ca="1" si="216"/>
        <v>247.82596191610418</v>
      </c>
      <c r="J463" s="359">
        <f t="shared" ca="1" si="217"/>
        <v>156.39032185036567</v>
      </c>
      <c r="K463" s="360">
        <f t="shared" ca="1" si="218"/>
        <v>667.71399185678308</v>
      </c>
      <c r="L463" s="357">
        <f t="shared" ca="1" si="203"/>
        <v>685.78415532132351</v>
      </c>
      <c r="M463" s="359">
        <f t="shared" ca="1" si="219"/>
        <v>1.3221734307807196</v>
      </c>
      <c r="N463" s="357">
        <f t="shared" ca="1" si="220"/>
        <v>75.754957368067721</v>
      </c>
      <c r="O463" s="343"/>
      <c r="P463" s="363">
        <f t="shared" ca="1" si="221"/>
        <v>19</v>
      </c>
      <c r="Q463" s="357">
        <f t="shared" ca="1" si="222"/>
        <v>88.768750000041905</v>
      </c>
      <c r="R463" s="359">
        <f t="shared" ca="1" si="223"/>
        <v>4.4467130633018312E-2</v>
      </c>
      <c r="S463" s="360">
        <f t="shared" ca="1" si="224"/>
        <v>10.6406326808053</v>
      </c>
      <c r="T463" s="357">
        <f t="shared" ca="1" si="204"/>
        <v>104.3846065987</v>
      </c>
      <c r="U463" s="364">
        <f t="shared" ca="1" si="205"/>
        <v>0</v>
      </c>
      <c r="V463" s="359">
        <f t="shared" ca="1" si="206"/>
        <v>1.1458475944318915</v>
      </c>
      <c r="W463" s="357">
        <f t="shared" ca="1" si="207"/>
        <v>160.70174813122722</v>
      </c>
      <c r="X463" s="343"/>
      <c r="Y463" s="367" t="str">
        <f t="shared" ca="1" si="225"/>
        <v/>
      </c>
      <c r="Z463" s="368" t="str">
        <f t="shared" ca="1" si="226"/>
        <v/>
      </c>
      <c r="AA463" s="369" t="str">
        <f t="shared" ca="1" si="227"/>
        <v/>
      </c>
      <c r="AB463" s="344"/>
      <c r="AC463" s="363" t="e">
        <f t="shared" ca="1" si="228"/>
        <v>#N/A</v>
      </c>
      <c r="AD463" s="376" t="e">
        <f t="shared" ca="1" si="229"/>
        <v>#N/A</v>
      </c>
      <c r="AE463" s="377">
        <f t="shared" ca="1" si="208"/>
        <v>667.71399185678308</v>
      </c>
      <c r="AF463" s="344"/>
      <c r="AG463" s="359">
        <f t="shared" ca="1" si="230"/>
        <v>-16.292319133199729</v>
      </c>
      <c r="AH463" s="357">
        <f t="shared" ca="1" si="231"/>
        <v>-6.7837200194790057</v>
      </c>
    </row>
    <row r="464" spans="1:34" x14ac:dyDescent="0.25">
      <c r="A464" s="402">
        <f t="shared" ca="1" si="209"/>
        <v>0.01</v>
      </c>
      <c r="B464" s="357">
        <f t="shared" ca="1" si="210"/>
        <v>4.5999999999999464</v>
      </c>
      <c r="C464" s="342"/>
      <c r="D464" s="359">
        <f t="shared" ca="1" si="211"/>
        <v>-1.8465334597402738</v>
      </c>
      <c r="E464" s="360">
        <f t="shared" ca="1" si="212"/>
        <v>-17.083380571144495</v>
      </c>
      <c r="F464" s="357">
        <f t="shared" ca="1" si="213"/>
        <v>17.182886182376276</v>
      </c>
      <c r="G464" s="359">
        <f t="shared" ca="1" si="214"/>
        <v>60.963928331133332</v>
      </c>
      <c r="H464" s="360">
        <f t="shared" ca="1" si="215"/>
        <v>240.03502595303831</v>
      </c>
      <c r="I464" s="357">
        <f t="shared" ca="1" si="216"/>
        <v>247.65583829548484</v>
      </c>
      <c r="J464" s="359">
        <f t="shared" ca="1" si="217"/>
        <v>157.00005346034999</v>
      </c>
      <c r="K464" s="360">
        <f t="shared" ca="1" si="218"/>
        <v>670.11519628534199</v>
      </c>
      <c r="L464" s="357">
        <f t="shared" ca="1" si="203"/>
        <v>688.26113727210782</v>
      </c>
      <c r="M464" s="359">
        <f t="shared" ca="1" si="219"/>
        <v>1.3220759591786913</v>
      </c>
      <c r="N464" s="357">
        <f t="shared" ca="1" si="220"/>
        <v>75.749372656649115</v>
      </c>
      <c r="O464" s="343"/>
      <c r="P464" s="363">
        <f t="shared" ca="1" si="221"/>
        <v>19</v>
      </c>
      <c r="Q464" s="357">
        <f t="shared" ca="1" si="222"/>
        <v>80.856250000042081</v>
      </c>
      <c r="R464" s="359">
        <f t="shared" ca="1" si="223"/>
        <v>4.0503504118804885E-2</v>
      </c>
      <c r="S464" s="360">
        <f t="shared" ca="1" si="224"/>
        <v>10.640227645764112</v>
      </c>
      <c r="T464" s="357">
        <f t="shared" ca="1" si="204"/>
        <v>104.38063320494594</v>
      </c>
      <c r="U464" s="364">
        <f t="shared" ca="1" si="205"/>
        <v>0</v>
      </c>
      <c r="V464" s="359">
        <f t="shared" ca="1" si="206"/>
        <v>1.1455721779821462</v>
      </c>
      <c r="W464" s="357">
        <f t="shared" ca="1" si="207"/>
        <v>160.44261857184998</v>
      </c>
      <c r="X464" s="343"/>
      <c r="Y464" s="367" t="str">
        <f t="shared" ca="1" si="225"/>
        <v/>
      </c>
      <c r="Z464" s="368" t="str">
        <f t="shared" ca="1" si="226"/>
        <v/>
      </c>
      <c r="AA464" s="369" t="str">
        <f t="shared" ca="1" si="227"/>
        <v/>
      </c>
      <c r="AB464" s="344"/>
      <c r="AC464" s="363" t="e">
        <f t="shared" ca="1" si="228"/>
        <v>#N/A</v>
      </c>
      <c r="AD464" s="376" t="e">
        <f t="shared" ca="1" si="229"/>
        <v>#N/A</v>
      </c>
      <c r="AE464" s="377">
        <f t="shared" ca="1" si="208"/>
        <v>670.11519628534199</v>
      </c>
      <c r="AF464" s="344"/>
      <c r="AG464" s="359">
        <f t="shared" ca="1" si="230"/>
        <v>-17.012479707286627</v>
      </c>
      <c r="AH464" s="357">
        <f t="shared" ca="1" si="231"/>
        <v>-7.5041155875054733</v>
      </c>
    </row>
    <row r="465" spans="1:34" x14ac:dyDescent="0.25">
      <c r="A465" s="402">
        <f t="shared" ca="1" si="209"/>
        <v>0.01</v>
      </c>
      <c r="B465" s="357">
        <f t="shared" ca="1" si="210"/>
        <v>4.6099999999999461</v>
      </c>
      <c r="C465" s="342"/>
      <c r="D465" s="359">
        <f t="shared" ca="1" si="211"/>
        <v>-1.9837432856385575</v>
      </c>
      <c r="E465" s="360">
        <f t="shared" ca="1" si="212"/>
        <v>-17.620649413306349</v>
      </c>
      <c r="F465" s="357">
        <f t="shared" ca="1" si="213"/>
        <v>17.731963319665688</v>
      </c>
      <c r="G465" s="359">
        <f t="shared" ca="1" si="214"/>
        <v>60.944090898276947</v>
      </c>
      <c r="H465" s="360">
        <f t="shared" ca="1" si="215"/>
        <v>239.85881945890526</v>
      </c>
      <c r="I465" s="357">
        <f t="shared" ca="1" si="216"/>
        <v>247.48017190804833</v>
      </c>
      <c r="J465" s="359">
        <f t="shared" ca="1" si="217"/>
        <v>157.60959355649703</v>
      </c>
      <c r="K465" s="360">
        <f t="shared" ca="1" si="218"/>
        <v>672.51466551240173</v>
      </c>
      <c r="L465" s="357">
        <f t="shared" ca="1" si="203"/>
        <v>690.73638916036691</v>
      </c>
      <c r="M465" s="359">
        <f t="shared" ca="1" si="219"/>
        <v>1.3219783809405461</v>
      </c>
      <c r="N465" s="357">
        <f t="shared" ca="1" si="220"/>
        <v>75.743781835431079</v>
      </c>
      <c r="O465" s="343"/>
      <c r="P465" s="363">
        <f t="shared" ca="1" si="221"/>
        <v>20</v>
      </c>
      <c r="Q465" s="357">
        <f t="shared" ca="1" si="222"/>
        <v>74.700000000023536</v>
      </c>
      <c r="R465" s="359">
        <f t="shared" ca="1" si="223"/>
        <v>3.7419639887752688E-2</v>
      </c>
      <c r="S465" s="360">
        <f t="shared" ca="1" si="224"/>
        <v>10.639853449365233</v>
      </c>
      <c r="T465" s="357">
        <f t="shared" ca="1" si="204"/>
        <v>104.37696233827295</v>
      </c>
      <c r="U465" s="364">
        <f t="shared" ca="1" si="205"/>
        <v>0</v>
      </c>
      <c r="V465" s="359">
        <f t="shared" ca="1" si="206"/>
        <v>1.1452970244711378</v>
      </c>
      <c r="W465" s="357">
        <f t="shared" ca="1" si="207"/>
        <v>160.17660822573859</v>
      </c>
      <c r="X465" s="343"/>
      <c r="Y465" s="367" t="str">
        <f t="shared" ca="1" si="225"/>
        <v/>
      </c>
      <c r="Z465" s="368" t="str">
        <f t="shared" ca="1" si="226"/>
        <v/>
      </c>
      <c r="AA465" s="369" t="str">
        <f t="shared" ca="1" si="227"/>
        <v/>
      </c>
      <c r="AB465" s="344"/>
      <c r="AC465" s="363" t="e">
        <f t="shared" ca="1" si="228"/>
        <v>#N/A</v>
      </c>
      <c r="AD465" s="376" t="e">
        <f t="shared" ca="1" si="229"/>
        <v>#N/A</v>
      </c>
      <c r="AE465" s="377">
        <f t="shared" ca="1" si="208"/>
        <v>672.51466551240173</v>
      </c>
      <c r="AF465" s="344"/>
      <c r="AG465" s="359">
        <f t="shared" ca="1" si="230"/>
        <v>-17.566756562931111</v>
      </c>
      <c r="AH465" s="357">
        <f t="shared" ca="1" si="231"/>
        <v>-8.0586277790265797</v>
      </c>
    </row>
    <row r="466" spans="1:34" x14ac:dyDescent="0.25">
      <c r="A466" s="402">
        <f t="shared" ca="1" si="209"/>
        <v>0.01</v>
      </c>
      <c r="B466" s="357">
        <f t="shared" ca="1" si="210"/>
        <v>4.6199999999999459</v>
      </c>
      <c r="C466" s="342"/>
      <c r="D466" s="359">
        <f t="shared" ca="1" si="211"/>
        <v>-2.0802551072374653</v>
      </c>
      <c r="E466" s="360">
        <f t="shared" ca="1" si="212"/>
        <v>-17.997299651875583</v>
      </c>
      <c r="F466" s="357">
        <f t="shared" ca="1" si="213"/>
        <v>18.117126043348833</v>
      </c>
      <c r="G466" s="359">
        <f t="shared" ca="1" si="214"/>
        <v>60.923288347204576</v>
      </c>
      <c r="H466" s="360">
        <f t="shared" ca="1" si="215"/>
        <v>239.6788464623865</v>
      </c>
      <c r="I466" s="357">
        <f t="shared" ca="1" si="216"/>
        <v>247.30061970115821</v>
      </c>
      <c r="J466" s="359">
        <f t="shared" ca="1" si="217"/>
        <v>158.21893045272444</v>
      </c>
      <c r="K466" s="360">
        <f t="shared" ca="1" si="218"/>
        <v>674.9123538420082</v>
      </c>
      <c r="L466" s="357">
        <f t="shared" ca="1" si="203"/>
        <v>693.20986383790307</v>
      </c>
      <c r="M466" s="359">
        <f t="shared" ca="1" si="219"/>
        <v>1.3218806943398029</v>
      </c>
      <c r="N466" s="357">
        <f t="shared" ca="1" si="220"/>
        <v>75.738184805493518</v>
      </c>
      <c r="O466" s="343"/>
      <c r="P466" s="363">
        <f t="shared" ca="1" si="221"/>
        <v>20</v>
      </c>
      <c r="Q466" s="357">
        <f t="shared" ca="1" si="222"/>
        <v>70.300000000023687</v>
      </c>
      <c r="R466" s="359">
        <f t="shared" ca="1" si="223"/>
        <v>3.5215537939880477E-2</v>
      </c>
      <c r="S466" s="360">
        <f t="shared" ca="1" si="224"/>
        <v>10.639501293985834</v>
      </c>
      <c r="T466" s="357">
        <f t="shared" ca="1" si="204"/>
        <v>104.37350769400103</v>
      </c>
      <c r="U466" s="364">
        <f t="shared" ca="1" si="205"/>
        <v>0</v>
      </c>
      <c r="V466" s="359">
        <f t="shared" ca="1" si="206"/>
        <v>1.1450221389762918</v>
      </c>
      <c r="W466" s="357">
        <f t="shared" ca="1" si="207"/>
        <v>159.90588075701589</v>
      </c>
      <c r="X466" s="343"/>
      <c r="Y466" s="367" t="str">
        <f t="shared" ca="1" si="225"/>
        <v/>
      </c>
      <c r="Z466" s="368" t="str">
        <f t="shared" ca="1" si="226"/>
        <v/>
      </c>
      <c r="AA466" s="369" t="str">
        <f t="shared" ca="1" si="227"/>
        <v/>
      </c>
      <c r="AB466" s="344"/>
      <c r="AC466" s="363" t="e">
        <f t="shared" ca="1" si="228"/>
        <v>#N/A</v>
      </c>
      <c r="AD466" s="376" t="e">
        <f t="shared" ca="1" si="229"/>
        <v>#N/A</v>
      </c>
      <c r="AE466" s="377">
        <f t="shared" ca="1" si="208"/>
        <v>674.9123538420082</v>
      </c>
      <c r="AF466" s="344"/>
      <c r="AG466" s="359">
        <f t="shared" ca="1" si="230"/>
        <v>-17.955338684446819</v>
      </c>
      <c r="AH466" s="357">
        <f t="shared" ca="1" si="231"/>
        <v>-8.4474455843639262</v>
      </c>
    </row>
    <row r="467" spans="1:34" x14ac:dyDescent="0.25">
      <c r="A467" s="402">
        <f t="shared" ca="1" si="209"/>
        <v>0.01</v>
      </c>
      <c r="B467" s="357">
        <f t="shared" ca="1" si="210"/>
        <v>4.6299999999999457</v>
      </c>
      <c r="C467" s="342"/>
      <c r="D467" s="359">
        <f t="shared" ca="1" si="211"/>
        <v>-2.1767339854993253</v>
      </c>
      <c r="E467" s="360">
        <f t="shared" ca="1" si="212"/>
        <v>-18.373508386590395</v>
      </c>
      <c r="F467" s="357">
        <f t="shared" ca="1" si="213"/>
        <v>18.501999385897065</v>
      </c>
      <c r="G467" s="359">
        <f t="shared" ca="1" si="214"/>
        <v>60.901521007349579</v>
      </c>
      <c r="H467" s="360">
        <f t="shared" ca="1" si="215"/>
        <v>239.49511137852059</v>
      </c>
      <c r="I467" s="357">
        <f t="shared" ca="1" si="216"/>
        <v>247.11718603775543</v>
      </c>
      <c r="J467" s="359">
        <f t="shared" ca="1" si="217"/>
        <v>158.8280544994972</v>
      </c>
      <c r="K467" s="360">
        <f t="shared" ca="1" si="218"/>
        <v>677.30822363121274</v>
      </c>
      <c r="L467" s="357">
        <f t="shared" ca="1" si="203"/>
        <v>695.68152246165357</v>
      </c>
      <c r="M467" s="359">
        <f t="shared" ca="1" si="219"/>
        <v>1.3217828976421706</v>
      </c>
      <c r="N467" s="357">
        <f t="shared" ca="1" si="220"/>
        <v>75.732581467468862</v>
      </c>
      <c r="O467" s="343"/>
      <c r="P467" s="363">
        <f t="shared" ca="1" si="221"/>
        <v>20</v>
      </c>
      <c r="Q467" s="357">
        <f t="shared" ca="1" si="222"/>
        <v>65.900000000023837</v>
      </c>
      <c r="R467" s="359">
        <f t="shared" ca="1" si="223"/>
        <v>3.3011435992008266E-2</v>
      </c>
      <c r="S467" s="360">
        <f t="shared" ca="1" si="224"/>
        <v>10.639171179625913</v>
      </c>
      <c r="T467" s="357">
        <f t="shared" ca="1" si="204"/>
        <v>104.37026927213022</v>
      </c>
      <c r="U467" s="364">
        <f t="shared" ca="1" si="205"/>
        <v>0</v>
      </c>
      <c r="V467" s="359">
        <f t="shared" ca="1" si="206"/>
        <v>1.1447475256474631</v>
      </c>
      <c r="W467" s="357">
        <f t="shared" ca="1" si="207"/>
        <v>159.63045666386139</v>
      </c>
      <c r="X467" s="343"/>
      <c r="Y467" s="367" t="str">
        <f t="shared" ca="1" si="225"/>
        <v/>
      </c>
      <c r="Z467" s="368" t="str">
        <f t="shared" ca="1" si="226"/>
        <v/>
      </c>
      <c r="AA467" s="369" t="str">
        <f t="shared" ca="1" si="227"/>
        <v/>
      </c>
      <c r="AB467" s="344"/>
      <c r="AC467" s="363" t="e">
        <f t="shared" ca="1" si="228"/>
        <v>#N/A</v>
      </c>
      <c r="AD467" s="376" t="e">
        <f t="shared" ca="1" si="229"/>
        <v>#N/A</v>
      </c>
      <c r="AE467" s="377">
        <f t="shared" ca="1" si="208"/>
        <v>677.30822363121274</v>
      </c>
      <c r="AF467" s="344"/>
      <c r="AG467" s="359">
        <f t="shared" ca="1" si="230"/>
        <v>-18.343484514112845</v>
      </c>
      <c r="AH467" s="357">
        <f t="shared" ca="1" si="231"/>
        <v>-8.8358274502636043</v>
      </c>
    </row>
    <row r="468" spans="1:34" x14ac:dyDescent="0.25">
      <c r="A468" s="402">
        <f t="shared" ca="1" si="209"/>
        <v>0.01</v>
      </c>
      <c r="B468" s="357">
        <f t="shared" ca="1" si="210"/>
        <v>4.6399999999999455</v>
      </c>
      <c r="C468" s="342"/>
      <c r="D468" s="359">
        <f t="shared" ca="1" si="211"/>
        <v>-2.2731798016012199</v>
      </c>
      <c r="E468" s="360">
        <f t="shared" ca="1" si="212"/>
        <v>-18.749275091375591</v>
      </c>
      <c r="F468" s="357">
        <f t="shared" ca="1" si="213"/>
        <v>18.886573613614644</v>
      </c>
      <c r="G468" s="359">
        <f t="shared" ca="1" si="214"/>
        <v>60.878789209333569</v>
      </c>
      <c r="H468" s="360">
        <f t="shared" ca="1" si="215"/>
        <v>239.30761862760684</v>
      </c>
      <c r="I468" s="357">
        <f t="shared" ca="1" si="216"/>
        <v>246.92987528610342</v>
      </c>
      <c r="J468" s="359">
        <f t="shared" ca="1" si="217"/>
        <v>159.43695605058062</v>
      </c>
      <c r="K468" s="360">
        <f t="shared" ca="1" si="218"/>
        <v>679.70223728124336</v>
      </c>
      <c r="L468" s="357">
        <f t="shared" ca="1" si="203"/>
        <v>698.15132623221621</v>
      </c>
      <c r="M468" s="359">
        <f t="shared" ca="1" si="219"/>
        <v>1.3216849891053692</v>
      </c>
      <c r="N468" s="357">
        <f t="shared" ca="1" si="220"/>
        <v>75.726971721531854</v>
      </c>
      <c r="O468" s="343"/>
      <c r="P468" s="363">
        <f t="shared" ca="1" si="221"/>
        <v>20</v>
      </c>
      <c r="Q468" s="357">
        <f t="shared" ca="1" si="222"/>
        <v>61.500000000023995</v>
      </c>
      <c r="R468" s="359">
        <f t="shared" ca="1" si="223"/>
        <v>3.0807334044136055E-2</v>
      </c>
      <c r="S468" s="360">
        <f t="shared" ca="1" si="224"/>
        <v>10.638863106285472</v>
      </c>
      <c r="T468" s="357">
        <f t="shared" ca="1" si="204"/>
        <v>104.36724707266048</v>
      </c>
      <c r="U468" s="364">
        <f t="shared" ca="1" si="205"/>
        <v>0</v>
      </c>
      <c r="V468" s="359">
        <f t="shared" ca="1" si="206"/>
        <v>1.1444731886256612</v>
      </c>
      <c r="W468" s="357">
        <f t="shared" ca="1" si="207"/>
        <v>159.35035664354103</v>
      </c>
      <c r="X468" s="343"/>
      <c r="Y468" s="367" t="str">
        <f t="shared" ca="1" si="225"/>
        <v/>
      </c>
      <c r="Z468" s="368" t="str">
        <f t="shared" ca="1" si="226"/>
        <v/>
      </c>
      <c r="AA468" s="369" t="str">
        <f t="shared" ca="1" si="227"/>
        <v/>
      </c>
      <c r="AB468" s="344"/>
      <c r="AC468" s="363" t="e">
        <f t="shared" ca="1" si="228"/>
        <v>#N/A</v>
      </c>
      <c r="AD468" s="376" t="e">
        <f t="shared" ca="1" si="229"/>
        <v>#N/A</v>
      </c>
      <c r="AE468" s="377">
        <f t="shared" ca="1" si="208"/>
        <v>679.70223728124336</v>
      </c>
      <c r="AF468" s="344"/>
      <c r="AG468" s="359">
        <f t="shared" ca="1" si="230"/>
        <v>-18.731193519697229</v>
      </c>
      <c r="AH468" s="357">
        <f t="shared" ca="1" si="231"/>
        <v>-9.2237728489862452</v>
      </c>
    </row>
    <row r="469" spans="1:34" x14ac:dyDescent="0.25">
      <c r="A469" s="402">
        <f t="shared" ca="1" si="209"/>
        <v>0.01</v>
      </c>
      <c r="B469" s="357">
        <f t="shared" ca="1" si="210"/>
        <v>4.6499999999999453</v>
      </c>
      <c r="C469" s="342"/>
      <c r="D469" s="359">
        <f t="shared" ca="1" si="211"/>
        <v>-2.3695924448515568</v>
      </c>
      <c r="E469" s="360">
        <f t="shared" ca="1" si="212"/>
        <v>-19.124599262898226</v>
      </c>
      <c r="F469" s="357">
        <f t="shared" ca="1" si="213"/>
        <v>19.270839766889893</v>
      </c>
      <c r="G469" s="359">
        <f t="shared" ca="1" si="214"/>
        <v>60.855093284885051</v>
      </c>
      <c r="H469" s="360">
        <f t="shared" ca="1" si="215"/>
        <v>239.11637263497786</v>
      </c>
      <c r="I469" s="357">
        <f t="shared" ca="1" si="216"/>
        <v>246.73869181954754</v>
      </c>
      <c r="J469" s="359">
        <f t="shared" ca="1" si="217"/>
        <v>160.04562546305172</v>
      </c>
      <c r="K469" s="360">
        <f t="shared" ca="1" si="218"/>
        <v>682.09435723755632</v>
      </c>
      <c r="L469" s="357">
        <f t="shared" ca="1" si="203"/>
        <v>700.61923639390216</v>
      </c>
      <c r="M469" s="359">
        <f t="shared" ca="1" si="219"/>
        <v>1.3215869669789482</v>
      </c>
      <c r="N469" s="357">
        <f t="shared" ca="1" si="220"/>
        <v>75.721355467389017</v>
      </c>
      <c r="O469" s="343"/>
      <c r="P469" s="363">
        <f t="shared" ca="1" si="221"/>
        <v>20</v>
      </c>
      <c r="Q469" s="357">
        <f t="shared" ca="1" si="222"/>
        <v>57.100000000024153</v>
      </c>
      <c r="R469" s="359">
        <f t="shared" ca="1" si="223"/>
        <v>2.8603232096263843E-2</v>
      </c>
      <c r="S469" s="360">
        <f t="shared" ca="1" si="224"/>
        <v>10.638577073964509</v>
      </c>
      <c r="T469" s="357">
        <f t="shared" ca="1" si="204"/>
        <v>104.36444109559184</v>
      </c>
      <c r="U469" s="364">
        <f t="shared" ca="1" si="205"/>
        <v>0</v>
      </c>
      <c r="V469" s="359">
        <f t="shared" ca="1" si="206"/>
        <v>1.1441991320430658</v>
      </c>
      <c r="W469" s="357">
        <f t="shared" ca="1" si="207"/>
        <v>159.065601590791</v>
      </c>
      <c r="X469" s="343"/>
      <c r="Y469" s="367" t="str">
        <f t="shared" ca="1" si="225"/>
        <v/>
      </c>
      <c r="Z469" s="368" t="str">
        <f t="shared" ca="1" si="226"/>
        <v/>
      </c>
      <c r="AA469" s="369" t="str">
        <f t="shared" ca="1" si="227"/>
        <v/>
      </c>
      <c r="AB469" s="344"/>
      <c r="AC469" s="363" t="e">
        <f t="shared" ca="1" si="228"/>
        <v>#N/A</v>
      </c>
      <c r="AD469" s="376" t="e">
        <f t="shared" ca="1" si="229"/>
        <v>#N/A</v>
      </c>
      <c r="AE469" s="377">
        <f t="shared" ca="1" si="208"/>
        <v>682.09435723755632</v>
      </c>
      <c r="AF469" s="344"/>
      <c r="AG469" s="359">
        <f t="shared" ca="1" si="230"/>
        <v>-19.118465193017851</v>
      </c>
      <c r="AH469" s="357">
        <f t="shared" ca="1" si="231"/>
        <v>-9.6112812768684357</v>
      </c>
    </row>
    <row r="470" spans="1:34" x14ac:dyDescent="0.25">
      <c r="A470" s="402">
        <f t="shared" ca="1" si="209"/>
        <v>0.01</v>
      </c>
      <c r="B470" s="357">
        <f t="shared" ca="1" si="210"/>
        <v>4.6599999999999451</v>
      </c>
      <c r="C470" s="342"/>
      <c r="D470" s="359">
        <f t="shared" ca="1" si="211"/>
        <v>-2.5001663611826261</v>
      </c>
      <c r="E470" s="360">
        <f t="shared" ca="1" si="212"/>
        <v>-19.633840191507332</v>
      </c>
      <c r="F470" s="357">
        <f t="shared" ca="1" si="213"/>
        <v>19.792385215007258</v>
      </c>
      <c r="G470" s="359">
        <f t="shared" ca="1" si="214"/>
        <v>60.830091621273226</v>
      </c>
      <c r="H470" s="360">
        <f t="shared" ca="1" si="215"/>
        <v>238.92003423306278</v>
      </c>
      <c r="I470" s="357">
        <f t="shared" ca="1" si="216"/>
        <v>246.54225358867066</v>
      </c>
      <c r="J470" s="359">
        <f t="shared" ca="1" si="217"/>
        <v>160.65405138758251</v>
      </c>
      <c r="K470" s="360">
        <f t="shared" ca="1" si="218"/>
        <v>684.48453927189655</v>
      </c>
      <c r="L470" s="357">
        <f t="shared" ca="1" si="203"/>
        <v>703.08520730385476</v>
      </c>
      <c r="M470" s="359">
        <f t="shared" ca="1" si="219"/>
        <v>1.3214888289522284</v>
      </c>
      <c r="N470" s="357">
        <f t="shared" ca="1" si="220"/>
        <v>75.715732572648236</v>
      </c>
      <c r="O470" s="343"/>
      <c r="P470" s="363">
        <f t="shared" ca="1" si="221"/>
        <v>21</v>
      </c>
      <c r="Q470" s="357">
        <f t="shared" ca="1" si="222"/>
        <v>51.225000000040474</v>
      </c>
      <c r="R470" s="359">
        <f t="shared" ca="1" si="223"/>
        <v>2.5660255063601634E-2</v>
      </c>
      <c r="S470" s="360">
        <f t="shared" ca="1" si="224"/>
        <v>10.638320471413873</v>
      </c>
      <c r="T470" s="357">
        <f t="shared" ca="1" si="204"/>
        <v>104.3619238245701</v>
      </c>
      <c r="U470" s="364">
        <f t="shared" ca="1" si="205"/>
        <v>0</v>
      </c>
      <c r="V470" s="359">
        <f t="shared" ca="1" si="206"/>
        <v>1.1439253607924245</v>
      </c>
      <c r="W470" s="357">
        <f t="shared" ca="1" si="207"/>
        <v>158.77442696554888</v>
      </c>
      <c r="X470" s="343"/>
      <c r="Y470" s="367" t="str">
        <f t="shared" ca="1" si="225"/>
        <v/>
      </c>
      <c r="Z470" s="368" t="str">
        <f t="shared" ca="1" si="226"/>
        <v/>
      </c>
      <c r="AA470" s="369" t="str">
        <f t="shared" ca="1" si="227"/>
        <v/>
      </c>
      <c r="AB470" s="344"/>
      <c r="AC470" s="363" t="e">
        <f t="shared" ca="1" si="228"/>
        <v>#N/A</v>
      </c>
      <c r="AD470" s="376" t="e">
        <f t="shared" ca="1" si="229"/>
        <v>#N/A</v>
      </c>
      <c r="AE470" s="377">
        <f t="shared" ca="1" si="208"/>
        <v>684.48453927189655</v>
      </c>
      <c r="AF470" s="344"/>
      <c r="AG470" s="359">
        <f t="shared" ca="1" si="230"/>
        <v>-19.643941811000481</v>
      </c>
      <c r="AH470" s="357">
        <f t="shared" ca="1" si="231"/>
        <v>-10.136995015381231</v>
      </c>
    </row>
    <row r="471" spans="1:34" x14ac:dyDescent="0.25">
      <c r="A471" s="402">
        <f t="shared" ca="1" si="209"/>
        <v>0.01</v>
      </c>
      <c r="B471" s="357">
        <f t="shared" ca="1" si="210"/>
        <v>4.6699999999999449</v>
      </c>
      <c r="C471" s="342"/>
      <c r="D471" s="359">
        <f t="shared" ca="1" si="211"/>
        <v>-2.6648997456408892</v>
      </c>
      <c r="E471" s="360">
        <f t="shared" ca="1" si="212"/>
        <v>-20.276825242024437</v>
      </c>
      <c r="F471" s="357">
        <f t="shared" ca="1" si="213"/>
        <v>20.451193915024039</v>
      </c>
      <c r="G471" s="359">
        <f t="shared" ca="1" si="214"/>
        <v>60.803442623816814</v>
      </c>
      <c r="H471" s="360">
        <f t="shared" ca="1" si="215"/>
        <v>238.71726598064254</v>
      </c>
      <c r="I471" s="357">
        <f t="shared" ca="1" si="216"/>
        <v>246.33918022145934</v>
      </c>
      <c r="J471" s="359">
        <f t="shared" ca="1" si="217"/>
        <v>161.26221905880797</v>
      </c>
      <c r="K471" s="360">
        <f t="shared" ca="1" si="218"/>
        <v>686.87272577296505</v>
      </c>
      <c r="L471" s="357">
        <f t="shared" ca="1" si="203"/>
        <v>705.5491795095179</v>
      </c>
      <c r="M471" s="359">
        <f t="shared" ca="1" si="219"/>
        <v>1.3213905721501149</v>
      </c>
      <c r="N471" s="357">
        <f t="shared" ca="1" si="220"/>
        <v>75.710102872578688</v>
      </c>
      <c r="O471" s="343"/>
      <c r="P471" s="363">
        <f t="shared" ca="1" si="221"/>
        <v>21</v>
      </c>
      <c r="Q471" s="357">
        <f t="shared" ca="1" si="222"/>
        <v>43.875000000040473</v>
      </c>
      <c r="R471" s="359">
        <f t="shared" ca="1" si="223"/>
        <v>2.1978402946133152E-2</v>
      </c>
      <c r="S471" s="360">
        <f t="shared" ca="1" si="224"/>
        <v>10.638100687384412</v>
      </c>
      <c r="T471" s="357">
        <f t="shared" ca="1" si="204"/>
        <v>104.35976774324109</v>
      </c>
      <c r="U471" s="364">
        <f t="shared" ca="1" si="205"/>
        <v>0</v>
      </c>
      <c r="V471" s="359">
        <f t="shared" ca="1" si="206"/>
        <v>1.1436518812944025</v>
      </c>
      <c r="W471" s="357">
        <f t="shared" ca="1" si="207"/>
        <v>158.47507831617202</v>
      </c>
      <c r="X471" s="343"/>
      <c r="Y471" s="367" t="str">
        <f t="shared" ca="1" si="225"/>
        <v/>
      </c>
      <c r="Z471" s="368" t="str">
        <f t="shared" ca="1" si="226"/>
        <v/>
      </c>
      <c r="AA471" s="369" t="str">
        <f t="shared" ca="1" si="227"/>
        <v/>
      </c>
      <c r="AB471" s="344"/>
      <c r="AC471" s="363" t="e">
        <f t="shared" ca="1" si="228"/>
        <v>#N/A</v>
      </c>
      <c r="AD471" s="376" t="e">
        <f t="shared" ca="1" si="229"/>
        <v>#N/A</v>
      </c>
      <c r="AE471" s="377">
        <f t="shared" ca="1" si="208"/>
        <v>686.87272577296505</v>
      </c>
      <c r="AF471" s="344"/>
      <c r="AG471" s="359">
        <f t="shared" ca="1" si="230"/>
        <v>-20.307455633970982</v>
      </c>
      <c r="AH471" s="357">
        <f t="shared" ca="1" si="231"/>
        <v>-10.800746330758663</v>
      </c>
    </row>
    <row r="472" spans="1:34" x14ac:dyDescent="0.25">
      <c r="A472" s="402">
        <f t="shared" ca="1" si="209"/>
        <v>0.01</v>
      </c>
      <c r="B472" s="357">
        <f t="shared" ca="1" si="210"/>
        <v>4.6799999999999446</v>
      </c>
      <c r="C472" s="342"/>
      <c r="D472" s="359">
        <f t="shared" ca="1" si="211"/>
        <v>-3.2106470899314488</v>
      </c>
      <c r="E472" s="360">
        <f t="shared" ca="1" si="212"/>
        <v>-22.415156258651166</v>
      </c>
      <c r="F472" s="357">
        <f t="shared" ca="1" si="213"/>
        <v>22.643928211240951</v>
      </c>
      <c r="G472" s="359">
        <f t="shared" ca="1" si="214"/>
        <v>60.771336152917499</v>
      </c>
      <c r="H472" s="360">
        <f t="shared" ca="1" si="215"/>
        <v>238.49311441805602</v>
      </c>
      <c r="I472" s="357">
        <f t="shared" ca="1" si="216"/>
        <v>246.11404048252683</v>
      </c>
      <c r="J472" s="359">
        <f t="shared" ca="1" si="217"/>
        <v>161.87009295269164</v>
      </c>
      <c r="K472" s="360">
        <f t="shared" ca="1" si="218"/>
        <v>689.25877767495854</v>
      </c>
      <c r="L472" s="357">
        <f t="shared" ca="1" si="203"/>
        <v>708.01100951502929</v>
      </c>
      <c r="M472" s="359">
        <f t="shared" ca="1" si="219"/>
        <v>1.3212921875113997</v>
      </c>
      <c r="N472" s="357">
        <f t="shared" ca="1" si="220"/>
        <v>75.704465848011381</v>
      </c>
      <c r="O472" s="343"/>
      <c r="P472" s="363">
        <f t="shared" ca="1" si="221"/>
        <v>22</v>
      </c>
      <c r="Q472" s="357">
        <f t="shared" ca="1" si="222"/>
        <v>20.100000000221371</v>
      </c>
      <c r="R472" s="359">
        <f t="shared" ca="1" si="223"/>
        <v>1.0068738443800211E-2</v>
      </c>
      <c r="S472" s="360">
        <f t="shared" ca="1" si="224"/>
        <v>10.637999999999975</v>
      </c>
      <c r="T472" s="357">
        <f t="shared" ca="1" si="204"/>
        <v>104.35877999999975</v>
      </c>
      <c r="U472" s="364">
        <f t="shared" ca="1" si="205"/>
        <v>0</v>
      </c>
      <c r="V472" s="359">
        <f t="shared" ca="1" si="206"/>
        <v>1.1433787092882302</v>
      </c>
      <c r="W472" s="357">
        <f t="shared" ca="1" si="207"/>
        <v>158.1477525054317</v>
      </c>
      <c r="X472" s="343"/>
      <c r="Y472" s="367" t="str">
        <f t="shared" ca="1" si="225"/>
        <v/>
      </c>
      <c r="Z472" s="368" t="str">
        <f t="shared" ca="1" si="226"/>
        <v/>
      </c>
      <c r="AA472" s="369" t="str">
        <f t="shared" ca="1" si="227"/>
        <v/>
      </c>
      <c r="AB472" s="344"/>
      <c r="AC472" s="363" t="e">
        <f t="shared" ca="1" si="228"/>
        <v>#N/A</v>
      </c>
      <c r="AD472" s="376" t="e">
        <f t="shared" ca="1" si="229"/>
        <v>#N/A</v>
      </c>
      <c r="AE472" s="377">
        <f t="shared" ca="1" si="208"/>
        <v>689.25877767495854</v>
      </c>
      <c r="AF472" s="344"/>
      <c r="AG472" s="359">
        <f t="shared" ca="1" si="230"/>
        <v>-22.514093006748297</v>
      </c>
      <c r="AH472" s="357">
        <f t="shared" ca="1" si="231"/>
        <v>-13.007621575103494</v>
      </c>
    </row>
    <row r="473" spans="1:34" x14ac:dyDescent="0.25">
      <c r="A473" s="402">
        <f t="shared" ca="1" si="209"/>
        <v>0.01</v>
      </c>
      <c r="B473" s="357">
        <f t="shared" ca="1" si="210"/>
        <v>4.6899999999999444</v>
      </c>
      <c r="C473" s="342"/>
      <c r="D473" s="359">
        <f t="shared" ca="1" si="211"/>
        <v>-3.670839811708472</v>
      </c>
      <c r="E473" s="360">
        <f t="shared" ca="1" si="212"/>
        <v>-24.215969567975577</v>
      </c>
      <c r="F473" s="357">
        <f t="shared" ca="1" si="213"/>
        <v>24.492616173866423</v>
      </c>
      <c r="G473" s="359">
        <f t="shared" ca="1" si="214"/>
        <v>60.734627754800414</v>
      </c>
      <c r="H473" s="360">
        <f t="shared" ca="1" si="215"/>
        <v>238.25095472237626</v>
      </c>
      <c r="I473" s="357">
        <f t="shared" ca="1" si="216"/>
        <v>245.87031629425695</v>
      </c>
      <c r="J473" s="359">
        <f t="shared" ca="1" si="217"/>
        <v>162.47762277223023</v>
      </c>
      <c r="K473" s="360">
        <f t="shared" ca="1" si="218"/>
        <v>691.6424980206607</v>
      </c>
      <c r="L473" s="357">
        <f t="shared" ca="1" si="203"/>
        <v>710.47049408823079</v>
      </c>
      <c r="M473" s="359">
        <f t="shared" ca="1" si="219"/>
        <v>1.3211936673072888</v>
      </c>
      <c r="N473" s="357">
        <f t="shared" ca="1" si="220"/>
        <v>75.698821056119058</v>
      </c>
      <c r="O473" s="343"/>
      <c r="P473" s="363">
        <f t="shared" ca="1" si="221"/>
        <v>23</v>
      </c>
      <c r="Q473" s="357">
        <f t="shared" ca="1" si="222"/>
        <v>0</v>
      </c>
      <c r="R473" s="359">
        <f t="shared" ca="1" si="223"/>
        <v>0</v>
      </c>
      <c r="S473" s="360">
        <f t="shared" ca="1" si="224"/>
        <v>10.637999999999975</v>
      </c>
      <c r="T473" s="357">
        <f t="shared" ca="1" si="204"/>
        <v>104.35877999999975</v>
      </c>
      <c r="U473" s="364">
        <f t="shared" ca="1" si="205"/>
        <v>0</v>
      </c>
      <c r="V473" s="359">
        <f t="shared" ca="1" si="206"/>
        <v>1.1431058671242404</v>
      </c>
      <c r="W473" s="357">
        <f t="shared" ca="1" si="207"/>
        <v>157.79701965681673</v>
      </c>
      <c r="X473" s="343"/>
      <c r="Y473" s="367" t="str">
        <f t="shared" ca="1" si="225"/>
        <v>Fin de propulsion</v>
      </c>
      <c r="Z473" s="368" t="str">
        <f t="shared" ca="1" si="226"/>
        <v/>
      </c>
      <c r="AA473" s="369" t="str">
        <f t="shared" ca="1" si="227"/>
        <v/>
      </c>
      <c r="AB473" s="344"/>
      <c r="AC473" s="363" t="e">
        <f t="shared" ca="1" si="228"/>
        <v>#N/A</v>
      </c>
      <c r="AD473" s="376" t="e">
        <f t="shared" ca="1" si="229"/>
        <v>#N/A</v>
      </c>
      <c r="AE473" s="377">
        <f t="shared" ca="1" si="208"/>
        <v>691.6424980206607</v>
      </c>
      <c r="AF473" s="344"/>
      <c r="AG473" s="359">
        <f t="shared" ca="1" si="230"/>
        <v>-24.372538150687404</v>
      </c>
      <c r="AH473" s="357">
        <f t="shared" ca="1" si="231"/>
        <v>-14.866304992050392</v>
      </c>
    </row>
    <row r="474" spans="1:34" x14ac:dyDescent="0.25">
      <c r="A474" s="402">
        <f t="shared" ca="1" si="209"/>
        <v>0.01</v>
      </c>
      <c r="B474" s="357">
        <f t="shared" ca="1" si="210"/>
        <v>4.6999999999999442</v>
      </c>
      <c r="C474" s="342"/>
      <c r="D474" s="359">
        <f t="shared" ca="1" si="211"/>
        <v>-3.6641149048251687</v>
      </c>
      <c r="E474" s="360">
        <f t="shared" ca="1" si="212"/>
        <v>-24.183659748298787</v>
      </c>
      <c r="F474" s="357">
        <f t="shared" ca="1" si="213"/>
        <v>24.459663465739851</v>
      </c>
      <c r="G474" s="359">
        <f t="shared" ca="1" si="214"/>
        <v>60.697986605752163</v>
      </c>
      <c r="H474" s="360">
        <f t="shared" ca="1" si="215"/>
        <v>238.00911812489326</v>
      </c>
      <c r="I474" s="357">
        <f t="shared" ca="1" si="216"/>
        <v>245.6269241931378</v>
      </c>
      <c r="J474" s="359">
        <f t="shared" ca="1" si="217"/>
        <v>163.08478584403301</v>
      </c>
      <c r="K474" s="360">
        <f t="shared" ca="1" si="218"/>
        <v>694.02379838489708</v>
      </c>
      <c r="L474" s="357">
        <f t="shared" ca="1" si="203"/>
        <v>712.92754196930446</v>
      </c>
      <c r="M474" s="359">
        <f t="shared" ca="1" si="219"/>
        <v>1.3210950113506239</v>
      </c>
      <c r="N474" s="357">
        <f t="shared" ca="1" si="220"/>
        <v>75.693168486178337</v>
      </c>
      <c r="O474" s="343"/>
      <c r="P474" s="363">
        <f t="shared" ca="1" si="221"/>
        <v>23</v>
      </c>
      <c r="Q474" s="357">
        <f t="shared" ca="1" si="222"/>
        <v>0</v>
      </c>
      <c r="R474" s="359">
        <f t="shared" ca="1" si="223"/>
        <v>0</v>
      </c>
      <c r="S474" s="360">
        <f t="shared" ca="1" si="224"/>
        <v>10.637999999999975</v>
      </c>
      <c r="T474" s="357">
        <f t="shared" ca="1" si="204"/>
        <v>104.35877999999975</v>
      </c>
      <c r="U474" s="364">
        <f t="shared" ca="1" si="205"/>
        <v>0</v>
      </c>
      <c r="V474" s="359">
        <f t="shared" ca="1" si="206"/>
        <v>1.1428333647139373</v>
      </c>
      <c r="W474" s="357">
        <f t="shared" ca="1" si="207"/>
        <v>157.44721880078097</v>
      </c>
      <c r="X474" s="343"/>
      <c r="Y474" s="367" t="str">
        <f t="shared" ca="1" si="225"/>
        <v/>
      </c>
      <c r="Z474" s="368" t="str">
        <f t="shared" ca="1" si="226"/>
        <v/>
      </c>
      <c r="AA474" s="369" t="str">
        <f t="shared" ca="1" si="227"/>
        <v/>
      </c>
      <c r="AB474" s="344"/>
      <c r="AC474" s="363" t="e">
        <f t="shared" ca="1" si="228"/>
        <v>#N/A</v>
      </c>
      <c r="AD474" s="376" t="e">
        <f t="shared" ca="1" si="229"/>
        <v>#N/A</v>
      </c>
      <c r="AE474" s="377">
        <f t="shared" ca="1" si="208"/>
        <v>694.02379838489708</v>
      </c>
      <c r="AF474" s="344"/>
      <c r="AG474" s="359">
        <f t="shared" ca="1" si="230"/>
        <v>-24.339329646229615</v>
      </c>
      <c r="AH474" s="357">
        <f t="shared" ca="1" si="231"/>
        <v>-14.833335181125879</v>
      </c>
    </row>
    <row r="475" spans="1:34" x14ac:dyDescent="0.25">
      <c r="A475" s="402">
        <f t="shared" ca="1" si="209"/>
        <v>0.01</v>
      </c>
      <c r="B475" s="357">
        <f t="shared" ca="1" si="210"/>
        <v>4.709999999999944</v>
      </c>
      <c r="C475" s="342"/>
      <c r="D475" s="359">
        <f t="shared" ca="1" si="211"/>
        <v>-3.6574072638311579</v>
      </c>
      <c r="E475" s="360">
        <f t="shared" ca="1" si="212"/>
        <v>-24.151435789989428</v>
      </c>
      <c r="F475" s="357">
        <f t="shared" ca="1" si="213"/>
        <v>24.426798370058798</v>
      </c>
      <c r="G475" s="359">
        <f t="shared" ca="1" si="214"/>
        <v>60.661412533113854</v>
      </c>
      <c r="H475" s="360">
        <f t="shared" ca="1" si="215"/>
        <v>237.76760376699337</v>
      </c>
      <c r="I475" s="357">
        <f t="shared" ca="1" si="216"/>
        <v>245.3838633072896</v>
      </c>
      <c r="J475" s="359">
        <f t="shared" ca="1" si="217"/>
        <v>163.69158283972735</v>
      </c>
      <c r="K475" s="360">
        <f t="shared" ca="1" si="218"/>
        <v>696.4026819943565</v>
      </c>
      <c r="L475" s="357">
        <f t="shared" ca="1" si="203"/>
        <v>715.3821564601036</v>
      </c>
      <c r="M475" s="359">
        <f t="shared" ca="1" si="219"/>
        <v>1.320996219453821</v>
      </c>
      <c r="N475" s="357">
        <f t="shared" ca="1" si="220"/>
        <v>75.687508127441433</v>
      </c>
      <c r="O475" s="343"/>
      <c r="P475" s="363">
        <f t="shared" ca="1" si="221"/>
        <v>23</v>
      </c>
      <c r="Q475" s="357">
        <f t="shared" ca="1" si="222"/>
        <v>0</v>
      </c>
      <c r="R475" s="359">
        <f t="shared" ca="1" si="223"/>
        <v>0</v>
      </c>
      <c r="S475" s="360">
        <f t="shared" ca="1" si="224"/>
        <v>10.637999999999975</v>
      </c>
      <c r="T475" s="357">
        <f t="shared" ca="1" si="204"/>
        <v>104.35877999999975</v>
      </c>
      <c r="U475" s="364">
        <f t="shared" ca="1" si="205"/>
        <v>0</v>
      </c>
      <c r="V475" s="359">
        <f t="shared" ca="1" si="206"/>
        <v>1.1425612014753397</v>
      </c>
      <c r="W475" s="357">
        <f t="shared" ca="1" si="207"/>
        <v>157.09834667088555</v>
      </c>
      <c r="X475" s="343"/>
      <c r="Y475" s="367" t="str">
        <f t="shared" ca="1" si="225"/>
        <v/>
      </c>
      <c r="Z475" s="368" t="str">
        <f t="shared" ca="1" si="226"/>
        <v/>
      </c>
      <c r="AA475" s="369" t="str">
        <f t="shared" ca="1" si="227"/>
        <v/>
      </c>
      <c r="AB475" s="344"/>
      <c r="AC475" s="363" t="e">
        <f t="shared" ca="1" si="228"/>
        <v>#N/A</v>
      </c>
      <c r="AD475" s="376" t="e">
        <f t="shared" ca="1" si="229"/>
        <v>#N/A</v>
      </c>
      <c r="AE475" s="377">
        <f t="shared" ca="1" si="208"/>
        <v>696.4026819943565</v>
      </c>
      <c r="AF475" s="344"/>
      <c r="AG475" s="359">
        <f t="shared" ca="1" si="230"/>
        <v>-24.306208330169561</v>
      </c>
      <c r="AH475" s="357">
        <f t="shared" ca="1" si="231"/>
        <v>-14.800452979956885</v>
      </c>
    </row>
    <row r="476" spans="1:34" x14ac:dyDescent="0.25">
      <c r="A476" s="402">
        <f t="shared" ca="1" si="209"/>
        <v>0.01</v>
      </c>
      <c r="B476" s="357">
        <f t="shared" ca="1" si="210"/>
        <v>4.7199999999999438</v>
      </c>
      <c r="C476" s="342"/>
      <c r="D476" s="359">
        <f t="shared" ca="1" si="211"/>
        <v>-3.6507168277295547</v>
      </c>
      <c r="E476" s="360">
        <f t="shared" ca="1" si="212"/>
        <v>-24.119297392098471</v>
      </c>
      <c r="F476" s="357">
        <f t="shared" ca="1" si="213"/>
        <v>24.394020579739532</v>
      </c>
      <c r="G476" s="359">
        <f t="shared" ca="1" si="214"/>
        <v>60.624905364836557</v>
      </c>
      <c r="H476" s="360">
        <f t="shared" ca="1" si="215"/>
        <v>237.52641079307239</v>
      </c>
      <c r="I476" s="357">
        <f t="shared" ca="1" si="216"/>
        <v>245.14113276791139</v>
      </c>
      <c r="J476" s="359">
        <f t="shared" ca="1" si="217"/>
        <v>164.29801442921709</v>
      </c>
      <c r="K476" s="360">
        <f t="shared" ca="1" si="218"/>
        <v>698.77915206715682</v>
      </c>
      <c r="L476" s="357">
        <f t="shared" ca="1" si="203"/>
        <v>717.83434085384761</v>
      </c>
      <c r="M476" s="359">
        <f t="shared" ca="1" si="219"/>
        <v>1.320897291428871</v>
      </c>
      <c r="N476" s="357">
        <f t="shared" ca="1" si="220"/>
        <v>75.681839969136234</v>
      </c>
      <c r="O476" s="343"/>
      <c r="P476" s="363">
        <f t="shared" ca="1" si="221"/>
        <v>23</v>
      </c>
      <c r="Q476" s="357">
        <f t="shared" ca="1" si="222"/>
        <v>0</v>
      </c>
      <c r="R476" s="359">
        <f t="shared" ca="1" si="223"/>
        <v>0</v>
      </c>
      <c r="S476" s="360">
        <f t="shared" ca="1" si="224"/>
        <v>10.637999999999975</v>
      </c>
      <c r="T476" s="357">
        <f t="shared" ca="1" si="204"/>
        <v>104.35877999999975</v>
      </c>
      <c r="U476" s="364">
        <f t="shared" ca="1" si="205"/>
        <v>0</v>
      </c>
      <c r="V476" s="359">
        <f t="shared" ca="1" si="206"/>
        <v>1.142289376828123</v>
      </c>
      <c r="W476" s="357">
        <f t="shared" ca="1" si="207"/>
        <v>156.75040001520995</v>
      </c>
      <c r="X476" s="343"/>
      <c r="Y476" s="367" t="str">
        <f t="shared" ca="1" si="225"/>
        <v/>
      </c>
      <c r="Z476" s="368" t="str">
        <f t="shared" ca="1" si="226"/>
        <v/>
      </c>
      <c r="AA476" s="369" t="str">
        <f t="shared" ca="1" si="227"/>
        <v/>
      </c>
      <c r="AB476" s="344"/>
      <c r="AC476" s="363" t="e">
        <f t="shared" ca="1" si="228"/>
        <v>#N/A</v>
      </c>
      <c r="AD476" s="376" t="e">
        <f t="shared" ca="1" si="229"/>
        <v>#N/A</v>
      </c>
      <c r="AE476" s="377">
        <f t="shared" ca="1" si="208"/>
        <v>698.77915206715682</v>
      </c>
      <c r="AF476" s="344"/>
      <c r="AG476" s="359">
        <f t="shared" ca="1" si="230"/>
        <v>-24.273173894618878</v>
      </c>
      <c r="AH476" s="357">
        <f t="shared" ca="1" si="231"/>
        <v>-14.767658081489557</v>
      </c>
    </row>
    <row r="477" spans="1:34" x14ac:dyDescent="0.25">
      <c r="A477" s="402">
        <f t="shared" ca="1" si="209"/>
        <v>0.01</v>
      </c>
      <c r="B477" s="357">
        <f t="shared" ca="1" si="210"/>
        <v>4.7299999999999436</v>
      </c>
      <c r="C477" s="342"/>
      <c r="D477" s="359">
        <f t="shared" ca="1" si="211"/>
        <v>-3.6440435357942662</v>
      </c>
      <c r="E477" s="360">
        <f t="shared" ca="1" si="212"/>
        <v>-24.087244255014483</v>
      </c>
      <c r="F477" s="357">
        <f t="shared" ca="1" si="213"/>
        <v>24.361329789063081</v>
      </c>
      <c r="G477" s="359">
        <f t="shared" ca="1" si="214"/>
        <v>60.588464929478612</v>
      </c>
      <c r="H477" s="360">
        <f t="shared" ca="1" si="215"/>
        <v>237.28553835052224</v>
      </c>
      <c r="I477" s="357">
        <f t="shared" ca="1" si="216"/>
        <v>244.89873170926759</v>
      </c>
      <c r="J477" s="359">
        <f t="shared" ca="1" si="217"/>
        <v>164.90408128068867</v>
      </c>
      <c r="K477" s="360">
        <f t="shared" ca="1" si="218"/>
        <v>701.15321181287482</v>
      </c>
      <c r="L477" s="357">
        <f t="shared" ca="1" si="203"/>
        <v>720.28409843515078</v>
      </c>
      <c r="M477" s="359">
        <f t="shared" ca="1" si="219"/>
        <v>1.3207982270873371</v>
      </c>
      <c r="N477" s="357">
        <f t="shared" ca="1" si="220"/>
        <v>75.676164000466102</v>
      </c>
      <c r="O477" s="343"/>
      <c r="P477" s="363">
        <f t="shared" ca="1" si="221"/>
        <v>23</v>
      </c>
      <c r="Q477" s="357">
        <f t="shared" ca="1" si="222"/>
        <v>0</v>
      </c>
      <c r="R477" s="359">
        <f t="shared" ca="1" si="223"/>
        <v>0</v>
      </c>
      <c r="S477" s="360">
        <f t="shared" ca="1" si="224"/>
        <v>10.637999999999975</v>
      </c>
      <c r="T477" s="357">
        <f t="shared" ca="1" si="204"/>
        <v>104.35877999999975</v>
      </c>
      <c r="U477" s="364">
        <f t="shared" ca="1" si="205"/>
        <v>0</v>
      </c>
      <c r="V477" s="359">
        <f t="shared" ca="1" si="206"/>
        <v>1.1420178901936109</v>
      </c>
      <c r="W477" s="357">
        <f t="shared" ca="1" si="207"/>
        <v>156.40337559627463</v>
      </c>
      <c r="X477" s="343"/>
      <c r="Y477" s="367" t="str">
        <f t="shared" ca="1" si="225"/>
        <v/>
      </c>
      <c r="Z477" s="368" t="str">
        <f t="shared" ca="1" si="226"/>
        <v/>
      </c>
      <c r="AA477" s="369" t="str">
        <f t="shared" ca="1" si="227"/>
        <v/>
      </c>
      <c r="AB477" s="344"/>
      <c r="AC477" s="363" t="e">
        <f t="shared" ca="1" si="228"/>
        <v>#N/A</v>
      </c>
      <c r="AD477" s="376" t="e">
        <f t="shared" ca="1" si="229"/>
        <v>#N/A</v>
      </c>
      <c r="AE477" s="377">
        <f t="shared" ca="1" si="208"/>
        <v>701.15321181287482</v>
      </c>
      <c r="AF477" s="344"/>
      <c r="AG477" s="359">
        <f t="shared" ca="1" si="230"/>
        <v>-24.240226033051719</v>
      </c>
      <c r="AH477" s="357">
        <f t="shared" ca="1" si="231"/>
        <v>-14.734950180034811</v>
      </c>
    </row>
    <row r="478" spans="1:34" x14ac:dyDescent="0.25">
      <c r="A478" s="402">
        <f t="shared" ca="1" si="209"/>
        <v>0.01</v>
      </c>
      <c r="B478" s="357">
        <f t="shared" ca="1" si="210"/>
        <v>4.7399999999999434</v>
      </c>
      <c r="C478" s="342"/>
      <c r="D478" s="359">
        <f t="shared" ca="1" si="211"/>
        <v>-3.6373873275685789</v>
      </c>
      <c r="E478" s="360">
        <f t="shared" ca="1" si="212"/>
        <v>-24.055276080456473</v>
      </c>
      <c r="F478" s="357">
        <f t="shared" ca="1" si="213"/>
        <v>24.328725693667923</v>
      </c>
      <c r="G478" s="359">
        <f t="shared" ca="1" si="214"/>
        <v>60.552091056202926</v>
      </c>
      <c r="H478" s="360">
        <f t="shared" ca="1" si="215"/>
        <v>237.04498558971767</v>
      </c>
      <c r="I478" s="357">
        <f t="shared" ca="1" si="216"/>
        <v>244.65665926867422</v>
      </c>
      <c r="J478" s="359">
        <f t="shared" ca="1" si="217"/>
        <v>165.50978406061708</v>
      </c>
      <c r="K478" s="360">
        <f t="shared" ca="1" si="218"/>
        <v>703.52486443257601</v>
      </c>
      <c r="L478" s="357">
        <f t="shared" ca="1" si="203"/>
        <v>722.73143248005101</v>
      </c>
      <c r="M478" s="359">
        <f t="shared" ca="1" si="219"/>
        <v>1.3206990262403551</v>
      </c>
      <c r="N478" s="357">
        <f t="shared" ca="1" si="220"/>
        <v>75.670480210609909</v>
      </c>
      <c r="O478" s="343"/>
      <c r="P478" s="363">
        <f t="shared" ca="1" si="221"/>
        <v>23</v>
      </c>
      <c r="Q478" s="357">
        <f t="shared" ca="1" si="222"/>
        <v>0</v>
      </c>
      <c r="R478" s="359">
        <f t="shared" ca="1" si="223"/>
        <v>0</v>
      </c>
      <c r="S478" s="360">
        <f t="shared" ca="1" si="224"/>
        <v>10.637999999999975</v>
      </c>
      <c r="T478" s="357">
        <f t="shared" ca="1" si="204"/>
        <v>104.35877999999975</v>
      </c>
      <c r="U478" s="364">
        <f t="shared" ca="1" si="205"/>
        <v>0</v>
      </c>
      <c r="V478" s="359">
        <f t="shared" ca="1" si="206"/>
        <v>1.1417467409947708</v>
      </c>
      <c r="W478" s="357">
        <f t="shared" ca="1" si="207"/>
        <v>156.05727019096352</v>
      </c>
      <c r="X478" s="343"/>
      <c r="Y478" s="367" t="str">
        <f t="shared" ca="1" si="225"/>
        <v/>
      </c>
      <c r="Z478" s="368" t="str">
        <f t="shared" ca="1" si="226"/>
        <v/>
      </c>
      <c r="AA478" s="369" t="str">
        <f t="shared" ca="1" si="227"/>
        <v/>
      </c>
      <c r="AB478" s="344"/>
      <c r="AC478" s="363" t="e">
        <f t="shared" ca="1" si="228"/>
        <v>#N/A</v>
      </c>
      <c r="AD478" s="376" t="e">
        <f t="shared" ca="1" si="229"/>
        <v>#N/A</v>
      </c>
      <c r="AE478" s="377">
        <f t="shared" ca="1" si="208"/>
        <v>703.52486443257601</v>
      </c>
      <c r="AF478" s="344"/>
      <c r="AG478" s="359">
        <f t="shared" ca="1" si="230"/>
        <v>-24.207364440297468</v>
      </c>
      <c r="AH478" s="357">
        <f t="shared" ca="1" si="231"/>
        <v>-14.702328971261045</v>
      </c>
    </row>
    <row r="479" spans="1:34" x14ac:dyDescent="0.25">
      <c r="A479" s="402">
        <f t="shared" ca="1" si="209"/>
        <v>0.01</v>
      </c>
      <c r="B479" s="357">
        <f t="shared" ca="1" si="210"/>
        <v>4.7499999999999432</v>
      </c>
      <c r="C479" s="342"/>
      <c r="D479" s="359">
        <f t="shared" ca="1" si="211"/>
        <v>-3.6307481428636854</v>
      </c>
      <c r="E479" s="360">
        <f t="shared" ca="1" si="212"/>
        <v>-24.023392571466811</v>
      </c>
      <c r="F479" s="357">
        <f t="shared" ca="1" si="213"/>
        <v>24.296207990542779</v>
      </c>
      <c r="G479" s="359">
        <f t="shared" ca="1" si="214"/>
        <v>60.515783574774289</v>
      </c>
      <c r="H479" s="360">
        <f t="shared" ca="1" si="215"/>
        <v>236.80475166400299</v>
      </c>
      <c r="I479" s="357">
        <f t="shared" ca="1" si="216"/>
        <v>244.41491458648559</v>
      </c>
      <c r="J479" s="359">
        <f t="shared" ca="1" si="217"/>
        <v>166.11512343377197</v>
      </c>
      <c r="K479" s="360">
        <f t="shared" ca="1" si="218"/>
        <v>705.89411311884464</v>
      </c>
      <c r="L479" s="357">
        <f t="shared" ca="1" si="203"/>
        <v>725.1763462560383</v>
      </c>
      <c r="M479" s="359">
        <f t="shared" ca="1" si="219"/>
        <v>1.3205996886986313</v>
      </c>
      <c r="N479" s="357">
        <f t="shared" ca="1" si="220"/>
        <v>75.664788588721933</v>
      </c>
      <c r="O479" s="343"/>
      <c r="P479" s="363">
        <f t="shared" ca="1" si="221"/>
        <v>23</v>
      </c>
      <c r="Q479" s="357">
        <f t="shared" ca="1" si="222"/>
        <v>0</v>
      </c>
      <c r="R479" s="359">
        <f t="shared" ca="1" si="223"/>
        <v>0</v>
      </c>
      <c r="S479" s="360">
        <f t="shared" ca="1" si="224"/>
        <v>10.637999999999975</v>
      </c>
      <c r="T479" s="357">
        <f t="shared" ca="1" si="204"/>
        <v>104.35877999999975</v>
      </c>
      <c r="U479" s="364">
        <f t="shared" ca="1" si="205"/>
        <v>0</v>
      </c>
      <c r="V479" s="359">
        <f t="shared" ca="1" si="206"/>
        <v>1.1414759286562068</v>
      </c>
      <c r="W479" s="357">
        <f t="shared" ca="1" si="207"/>
        <v>155.7120805904473</v>
      </c>
      <c r="X479" s="343"/>
      <c r="Y479" s="367" t="str">
        <f t="shared" ca="1" si="225"/>
        <v/>
      </c>
      <c r="Z479" s="368" t="str">
        <f t="shared" ca="1" si="226"/>
        <v/>
      </c>
      <c r="AA479" s="369" t="str">
        <f t="shared" ca="1" si="227"/>
        <v/>
      </c>
      <c r="AB479" s="344"/>
      <c r="AC479" s="363" t="e">
        <f t="shared" ca="1" si="228"/>
        <v>#N/A</v>
      </c>
      <c r="AD479" s="376" t="e">
        <f t="shared" ca="1" si="229"/>
        <v>#N/A</v>
      </c>
      <c r="AE479" s="377">
        <f t="shared" ca="1" si="208"/>
        <v>705.89411311884464</v>
      </c>
      <c r="AF479" s="344"/>
      <c r="AG479" s="359">
        <f t="shared" ca="1" si="230"/>
        <v>-24.174588812533461</v>
      </c>
      <c r="AH479" s="357">
        <f t="shared" ca="1" si="231"/>
        <v>-14.669794152186867</v>
      </c>
    </row>
    <row r="480" spans="1:34" x14ac:dyDescent="0.25">
      <c r="A480" s="402">
        <f t="shared" ca="1" si="209"/>
        <v>0.01</v>
      </c>
      <c r="B480" s="357">
        <f t="shared" ca="1" si="210"/>
        <v>4.7599999999999429</v>
      </c>
      <c r="C480" s="342"/>
      <c r="D480" s="359">
        <f t="shared" ca="1" si="211"/>
        <v>-3.6241259217572708</v>
      </c>
      <c r="E480" s="360">
        <f t="shared" ca="1" si="212"/>
        <v>-23.991593432404088</v>
      </c>
      <c r="F480" s="357">
        <f t="shared" ca="1" si="213"/>
        <v>24.263776378019308</v>
      </c>
      <c r="G480" s="359">
        <f t="shared" ca="1" si="214"/>
        <v>60.479542315556714</v>
      </c>
      <c r="H480" s="360">
        <f t="shared" ca="1" si="215"/>
        <v>236.56483572967895</v>
      </c>
      <c r="I480" s="357">
        <f t="shared" ca="1" si="216"/>
        <v>244.17349680608089</v>
      </c>
      <c r="J480" s="359">
        <f t="shared" ca="1" si="217"/>
        <v>166.72010006322361</v>
      </c>
      <c r="K480" s="360">
        <f t="shared" ca="1" si="218"/>
        <v>708.26096105581303</v>
      </c>
      <c r="L480" s="357">
        <f t="shared" ca="1" si="203"/>
        <v>727.61884302208341</v>
      </c>
      <c r="M480" s="359">
        <f t="shared" ca="1" si="219"/>
        <v>1.3205002142724425</v>
      </c>
      <c r="N480" s="357">
        <f t="shared" ca="1" si="220"/>
        <v>75.659089123931821</v>
      </c>
      <c r="O480" s="343"/>
      <c r="P480" s="363">
        <f t="shared" ca="1" si="221"/>
        <v>23</v>
      </c>
      <c r="Q480" s="357">
        <f t="shared" ca="1" si="222"/>
        <v>0</v>
      </c>
      <c r="R480" s="359">
        <f t="shared" ca="1" si="223"/>
        <v>0</v>
      </c>
      <c r="S480" s="360">
        <f t="shared" ca="1" si="224"/>
        <v>10.637999999999975</v>
      </c>
      <c r="T480" s="357">
        <f t="shared" ca="1" si="204"/>
        <v>104.35877999999975</v>
      </c>
      <c r="U480" s="364">
        <f t="shared" ca="1" si="205"/>
        <v>0</v>
      </c>
      <c r="V480" s="359">
        <f t="shared" ca="1" si="206"/>
        <v>1.141205452604154</v>
      </c>
      <c r="W480" s="357">
        <f t="shared" ca="1" si="207"/>
        <v>155.36780360010698</v>
      </c>
      <c r="X480" s="343"/>
      <c r="Y480" s="367" t="str">
        <f t="shared" ca="1" si="225"/>
        <v/>
      </c>
      <c r="Z480" s="368" t="str">
        <f t="shared" ca="1" si="226"/>
        <v/>
      </c>
      <c r="AA480" s="369" t="str">
        <f t="shared" ca="1" si="227"/>
        <v/>
      </c>
      <c r="AB480" s="344"/>
      <c r="AC480" s="363" t="e">
        <f t="shared" ca="1" si="228"/>
        <v>#N/A</v>
      </c>
      <c r="AD480" s="376" t="e">
        <f t="shared" ca="1" si="229"/>
        <v>#N/A</v>
      </c>
      <c r="AE480" s="377">
        <f t="shared" ca="1" si="208"/>
        <v>708.26096105581303</v>
      </c>
      <c r="AF480" s="344"/>
      <c r="AG480" s="359">
        <f t="shared" ca="1" si="230"/>
        <v>-24.141898847277758</v>
      </c>
      <c r="AH480" s="357">
        <f t="shared" ca="1" si="231"/>
        <v>-14.637345421173874</v>
      </c>
    </row>
    <row r="481" spans="1:34" x14ac:dyDescent="0.25">
      <c r="A481" s="402">
        <f t="shared" ca="1" si="209"/>
        <v>0.01</v>
      </c>
      <c r="B481" s="357">
        <f t="shared" ca="1" si="210"/>
        <v>4.7699999999999427</v>
      </c>
      <c r="C481" s="342"/>
      <c r="D481" s="359">
        <f t="shared" ca="1" si="211"/>
        <v>-3.6175206045920767</v>
      </c>
      <c r="E481" s="360">
        <f t="shared" ca="1" si="212"/>
        <v>-23.959878368936131</v>
      </c>
      <c r="F481" s="357">
        <f t="shared" ca="1" si="213"/>
        <v>24.231430555765002</v>
      </c>
      <c r="G481" s="359">
        <f t="shared" ca="1" si="214"/>
        <v>60.443367109510795</v>
      </c>
      <c r="H481" s="360">
        <f t="shared" ca="1" si="215"/>
        <v>236.32523694598959</v>
      </c>
      <c r="I481" s="357">
        <f t="shared" ca="1" si="216"/>
        <v>243.93240507385076</v>
      </c>
      <c r="J481" s="359">
        <f t="shared" ca="1" si="217"/>
        <v>167.32471461034896</v>
      </c>
      <c r="K481" s="360">
        <f t="shared" ca="1" si="218"/>
        <v>710.62541141919132</v>
      </c>
      <c r="L481" s="357">
        <f t="shared" ca="1" si="203"/>
        <v>730.05892602866629</v>
      </c>
      <c r="M481" s="359">
        <f t="shared" ca="1" si="219"/>
        <v>1.320400602771634</v>
      </c>
      <c r="N481" s="357">
        <f t="shared" ca="1" si="220"/>
        <v>75.653381805344537</v>
      </c>
      <c r="O481" s="343"/>
      <c r="P481" s="363">
        <f t="shared" ca="1" si="221"/>
        <v>23</v>
      </c>
      <c r="Q481" s="357">
        <f t="shared" ca="1" si="222"/>
        <v>0</v>
      </c>
      <c r="R481" s="359">
        <f t="shared" ca="1" si="223"/>
        <v>0</v>
      </c>
      <c r="S481" s="360">
        <f t="shared" ca="1" si="224"/>
        <v>10.637999999999975</v>
      </c>
      <c r="T481" s="357">
        <f t="shared" ca="1" si="204"/>
        <v>104.35877999999975</v>
      </c>
      <c r="U481" s="364">
        <f t="shared" ca="1" si="205"/>
        <v>0</v>
      </c>
      <c r="V481" s="359">
        <f t="shared" ca="1" si="206"/>
        <v>1.1409353122664725</v>
      </c>
      <c r="W481" s="357">
        <f t="shared" ca="1" si="207"/>
        <v>155.02443603945835</v>
      </c>
      <c r="X481" s="343"/>
      <c r="Y481" s="367" t="str">
        <f t="shared" ca="1" si="225"/>
        <v/>
      </c>
      <c r="Z481" s="368" t="str">
        <f t="shared" ca="1" si="226"/>
        <v/>
      </c>
      <c r="AA481" s="369" t="str">
        <f t="shared" ca="1" si="227"/>
        <v/>
      </c>
      <c r="AB481" s="344"/>
      <c r="AC481" s="363" t="e">
        <f t="shared" ca="1" si="228"/>
        <v>#N/A</v>
      </c>
      <c r="AD481" s="376" t="e">
        <f t="shared" ca="1" si="229"/>
        <v>#N/A</v>
      </c>
      <c r="AE481" s="377">
        <f t="shared" ca="1" si="208"/>
        <v>710.62541141919132</v>
      </c>
      <c r="AF481" s="344"/>
      <c r="AG481" s="359">
        <f t="shared" ca="1" si="230"/>
        <v>-24.109294243381953</v>
      </c>
      <c r="AH481" s="357">
        <f t="shared" ca="1" si="231"/>
        <v>-14.604982477919473</v>
      </c>
    </row>
    <row r="482" spans="1:34" x14ac:dyDescent="0.25">
      <c r="A482" s="402">
        <f t="shared" ca="1" si="209"/>
        <v>0.01</v>
      </c>
      <c r="B482" s="357">
        <f t="shared" ca="1" si="210"/>
        <v>4.7799999999999425</v>
      </c>
      <c r="C482" s="342"/>
      <c r="D482" s="359">
        <f t="shared" ca="1" si="211"/>
        <v>-3.6109321319744994</v>
      </c>
      <c r="E482" s="360">
        <f t="shared" ca="1" si="212"/>
        <v>-23.928247088033004</v>
      </c>
      <c r="F482" s="357">
        <f t="shared" ca="1" si="213"/>
        <v>24.199170224776012</v>
      </c>
      <c r="G482" s="359">
        <f t="shared" ca="1" si="214"/>
        <v>60.407257788191053</v>
      </c>
      <c r="H482" s="360">
        <f t="shared" ca="1" si="215"/>
        <v>236.08595447510925</v>
      </c>
      <c r="I482" s="357">
        <f t="shared" ca="1" si="216"/>
        <v>243.69163853918403</v>
      </c>
      <c r="J482" s="359">
        <f t="shared" ca="1" si="217"/>
        <v>167.92896773483747</v>
      </c>
      <c r="K482" s="360">
        <f t="shared" ca="1" si="218"/>
        <v>712.98746737629676</v>
      </c>
      <c r="L482" s="357">
        <f t="shared" ca="1" si="203"/>
        <v>732.49659851780473</v>
      </c>
      <c r="M482" s="359">
        <f t="shared" ca="1" si="219"/>
        <v>1.3203008540056194</v>
      </c>
      <c r="N482" s="357">
        <f t="shared" ca="1" si="220"/>
        <v>75.647666622040262</v>
      </c>
      <c r="O482" s="343"/>
      <c r="P482" s="363">
        <f t="shared" ca="1" si="221"/>
        <v>23</v>
      </c>
      <c r="Q482" s="357">
        <f t="shared" ca="1" si="222"/>
        <v>0</v>
      </c>
      <c r="R482" s="359">
        <f t="shared" ca="1" si="223"/>
        <v>0</v>
      </c>
      <c r="S482" s="360">
        <f t="shared" ca="1" si="224"/>
        <v>10.637999999999975</v>
      </c>
      <c r="T482" s="357">
        <f t="shared" ca="1" si="204"/>
        <v>104.35877999999975</v>
      </c>
      <c r="U482" s="364">
        <f t="shared" ca="1" si="205"/>
        <v>0</v>
      </c>
      <c r="V482" s="359">
        <f t="shared" ca="1" si="206"/>
        <v>1.1406655070726408</v>
      </c>
      <c r="W482" s="357">
        <f t="shared" ca="1" si="207"/>
        <v>154.68197474207611</v>
      </c>
      <c r="X482" s="343"/>
      <c r="Y482" s="367" t="str">
        <f t="shared" ca="1" si="225"/>
        <v/>
      </c>
      <c r="Z482" s="368" t="str">
        <f t="shared" ca="1" si="226"/>
        <v/>
      </c>
      <c r="AA482" s="369" t="str">
        <f t="shared" ca="1" si="227"/>
        <v/>
      </c>
      <c r="AB482" s="344"/>
      <c r="AC482" s="363" t="e">
        <f t="shared" ca="1" si="228"/>
        <v>#N/A</v>
      </c>
      <c r="AD482" s="376" t="e">
        <f t="shared" ca="1" si="229"/>
        <v>#N/A</v>
      </c>
      <c r="AE482" s="377">
        <f t="shared" ca="1" si="208"/>
        <v>712.98746737629676</v>
      </c>
      <c r="AF482" s="344"/>
      <c r="AG482" s="359">
        <f t="shared" ca="1" si="230"/>
        <v>-24.076774701024082</v>
      </c>
      <c r="AH482" s="357">
        <f t="shared" ca="1" si="231"/>
        <v>-14.572705023449776</v>
      </c>
    </row>
    <row r="483" spans="1:34" x14ac:dyDescent="0.25">
      <c r="A483" s="402">
        <f t="shared" ca="1" si="209"/>
        <v>0.01</v>
      </c>
      <c r="B483" s="357">
        <f t="shared" ca="1" si="210"/>
        <v>4.7899999999999423</v>
      </c>
      <c r="C483" s="342"/>
      <c r="D483" s="359">
        <f t="shared" ca="1" si="211"/>
        <v>-3.6043604447731674</v>
      </c>
      <c r="E483" s="360">
        <f t="shared" ca="1" si="212"/>
        <v>-23.896699297960051</v>
      </c>
      <c r="F483" s="357">
        <f t="shared" ca="1" si="213"/>
        <v>24.166995087370086</v>
      </c>
      <c r="G483" s="359">
        <f t="shared" ca="1" si="214"/>
        <v>60.371214183743319</v>
      </c>
      <c r="H483" s="360">
        <f t="shared" ca="1" si="215"/>
        <v>235.84698748212963</v>
      </c>
      <c r="I483" s="357">
        <f t="shared" ca="1" si="216"/>
        <v>243.45119635445462</v>
      </c>
      <c r="J483" s="359">
        <f t="shared" ca="1" si="217"/>
        <v>168.53286009469716</v>
      </c>
      <c r="K483" s="360">
        <f t="shared" ca="1" si="218"/>
        <v>715.34713208608298</v>
      </c>
      <c r="L483" s="357">
        <f t="shared" ca="1" si="203"/>
        <v>734.93186372308196</v>
      </c>
      <c r="M483" s="359">
        <f t="shared" ca="1" si="219"/>
        <v>1.3202009677833788</v>
      </c>
      <c r="N483" s="357">
        <f t="shared" ca="1" si="220"/>
        <v>75.641943563074378</v>
      </c>
      <c r="O483" s="343"/>
      <c r="P483" s="363">
        <f t="shared" ca="1" si="221"/>
        <v>23</v>
      </c>
      <c r="Q483" s="357">
        <f t="shared" ca="1" si="222"/>
        <v>0</v>
      </c>
      <c r="R483" s="359">
        <f t="shared" ca="1" si="223"/>
        <v>0</v>
      </c>
      <c r="S483" s="360">
        <f t="shared" ca="1" si="224"/>
        <v>10.637999999999975</v>
      </c>
      <c r="T483" s="357">
        <f t="shared" ca="1" si="204"/>
        <v>104.35877999999975</v>
      </c>
      <c r="U483" s="364">
        <f t="shared" ca="1" si="205"/>
        <v>0</v>
      </c>
      <c r="V483" s="359">
        <f t="shared" ca="1" si="206"/>
        <v>1.1403960364537511</v>
      </c>
      <c r="W483" s="357">
        <f t="shared" ca="1" si="207"/>
        <v>154.3404165555196</v>
      </c>
      <c r="X483" s="343"/>
      <c r="Y483" s="367" t="str">
        <f t="shared" ca="1" si="225"/>
        <v/>
      </c>
      <c r="Z483" s="368" t="str">
        <f t="shared" ca="1" si="226"/>
        <v/>
      </c>
      <c r="AA483" s="369" t="str">
        <f t="shared" ca="1" si="227"/>
        <v/>
      </c>
      <c r="AB483" s="344"/>
      <c r="AC483" s="363" t="e">
        <f t="shared" ca="1" si="228"/>
        <v>#N/A</v>
      </c>
      <c r="AD483" s="376" t="e">
        <f t="shared" ca="1" si="229"/>
        <v>#N/A</v>
      </c>
      <c r="AE483" s="377">
        <f t="shared" ca="1" si="208"/>
        <v>715.34713208608298</v>
      </c>
      <c r="AF483" s="344"/>
      <c r="AG483" s="359">
        <f t="shared" ca="1" si="230"/>
        <v>-24.044339921701454</v>
      </c>
      <c r="AH483" s="357">
        <f t="shared" ca="1" si="231"/>
        <v>-14.540512760112472</v>
      </c>
    </row>
    <row r="484" spans="1:34" x14ac:dyDescent="0.25">
      <c r="A484" s="402">
        <f t="shared" ca="1" si="209"/>
        <v>0.01</v>
      </c>
      <c r="B484" s="357">
        <f t="shared" ca="1" si="210"/>
        <v>4.7999999999999421</v>
      </c>
      <c r="C484" s="342"/>
      <c r="D484" s="359">
        <f t="shared" ca="1" si="211"/>
        <v>-3.5978054841175648</v>
      </c>
      <c r="E484" s="360">
        <f t="shared" ca="1" si="212"/>
        <v>-23.865234708271018</v>
      </c>
      <c r="F484" s="357">
        <f t="shared" ca="1" si="213"/>
        <v>24.134904847179531</v>
      </c>
      <c r="G484" s="359">
        <f t="shared" ca="1" si="214"/>
        <v>60.335236128902146</v>
      </c>
      <c r="H484" s="360">
        <f t="shared" ca="1" si="215"/>
        <v>235.60833513504693</v>
      </c>
      <c r="I484" s="357">
        <f t="shared" ca="1" si="216"/>
        <v>243.2110776750084</v>
      </c>
      <c r="J484" s="359">
        <f t="shared" ca="1" si="217"/>
        <v>169.13639234626038</v>
      </c>
      <c r="K484" s="360">
        <f t="shared" ca="1" si="218"/>
        <v>717.70440869916888</v>
      </c>
      <c r="L484" s="357">
        <f t="shared" ca="1" si="203"/>
        <v>737.36472486967523</v>
      </c>
      <c r="M484" s="359">
        <f t="shared" ca="1" si="219"/>
        <v>1.3201009439134586</v>
      </c>
      <c r="N484" s="357">
        <f t="shared" ca="1" si="220"/>
        <v>75.636212617477369</v>
      </c>
      <c r="O484" s="343"/>
      <c r="P484" s="363">
        <f t="shared" ca="1" si="221"/>
        <v>23</v>
      </c>
      <c r="Q484" s="357">
        <f t="shared" ca="1" si="222"/>
        <v>0</v>
      </c>
      <c r="R484" s="359">
        <f t="shared" ca="1" si="223"/>
        <v>0</v>
      </c>
      <c r="S484" s="360">
        <f t="shared" ca="1" si="224"/>
        <v>10.637999999999975</v>
      </c>
      <c r="T484" s="357">
        <f t="shared" ca="1" si="204"/>
        <v>104.35877999999975</v>
      </c>
      <c r="U484" s="364">
        <f t="shared" ca="1" si="205"/>
        <v>0</v>
      </c>
      <c r="V484" s="359">
        <f t="shared" ca="1" si="206"/>
        <v>1.1401268998425018</v>
      </c>
      <c r="W484" s="357">
        <f t="shared" ca="1" si="207"/>
        <v>153.99975834125789</v>
      </c>
      <c r="X484" s="343"/>
      <c r="Y484" s="367" t="str">
        <f t="shared" ca="1" si="225"/>
        <v/>
      </c>
      <c r="Z484" s="368" t="str">
        <f t="shared" ca="1" si="226"/>
        <v/>
      </c>
      <c r="AA484" s="369" t="str">
        <f t="shared" ca="1" si="227"/>
        <v/>
      </c>
      <c r="AB484" s="344"/>
      <c r="AC484" s="363" t="e">
        <f t="shared" ca="1" si="228"/>
        <v>#N/A</v>
      </c>
      <c r="AD484" s="376" t="e">
        <f t="shared" ca="1" si="229"/>
        <v>#N/A</v>
      </c>
      <c r="AE484" s="377">
        <f t="shared" ca="1" si="208"/>
        <v>717.70440869916888</v>
      </c>
      <c r="AF484" s="344"/>
      <c r="AG484" s="359">
        <f t="shared" ca="1" si="230"/>
        <v>-24.011989608223686</v>
      </c>
      <c r="AH484" s="357">
        <f t="shared" ca="1" si="231"/>
        <v>-14.508405391569839</v>
      </c>
    </row>
    <row r="485" spans="1:34" x14ac:dyDescent="0.25">
      <c r="A485" s="402">
        <f t="shared" ca="1" si="209"/>
        <v>0.01</v>
      </c>
      <c r="B485" s="357">
        <f t="shared" ca="1" si="210"/>
        <v>4.8099999999999419</v>
      </c>
      <c r="C485" s="342"/>
      <c r="D485" s="359">
        <f t="shared" ca="1" si="211"/>
        <v>-3.5912671913966259</v>
      </c>
      <c r="E485" s="360">
        <f t="shared" ca="1" si="212"/>
        <v>-23.833853029801194</v>
      </c>
      <c r="F485" s="357">
        <f t="shared" ca="1" si="213"/>
        <v>24.10289920914423</v>
      </c>
      <c r="G485" s="359">
        <f t="shared" ca="1" si="214"/>
        <v>60.299323456988176</v>
      </c>
      <c r="H485" s="360">
        <f t="shared" ca="1" si="215"/>
        <v>235.36999660474891</v>
      </c>
      <c r="I485" s="357">
        <f t="shared" ca="1" si="216"/>
        <v>242.97128165914998</v>
      </c>
      <c r="J485" s="359">
        <f t="shared" ca="1" si="217"/>
        <v>169.73956514418984</v>
      </c>
      <c r="K485" s="360">
        <f t="shared" ca="1" si="218"/>
        <v>720.05930035786787</v>
      </c>
      <c r="L485" s="357">
        <f t="shared" ca="1" si="203"/>
        <v>739.79518517438385</v>
      </c>
      <c r="M485" s="359">
        <f t="shared" ca="1" si="219"/>
        <v>1.3200007822039699</v>
      </c>
      <c r="N485" s="357">
        <f t="shared" ca="1" si="220"/>
        <v>75.630473774254853</v>
      </c>
      <c r="O485" s="343"/>
      <c r="P485" s="363">
        <f t="shared" ca="1" si="221"/>
        <v>23</v>
      </c>
      <c r="Q485" s="357">
        <f t="shared" ca="1" si="222"/>
        <v>0</v>
      </c>
      <c r="R485" s="359">
        <f t="shared" ca="1" si="223"/>
        <v>0</v>
      </c>
      <c r="S485" s="360">
        <f t="shared" ca="1" si="224"/>
        <v>10.637999999999975</v>
      </c>
      <c r="T485" s="357">
        <f t="shared" ca="1" si="204"/>
        <v>104.35877999999975</v>
      </c>
      <c r="U485" s="364">
        <f t="shared" ca="1" si="205"/>
        <v>0</v>
      </c>
      <c r="V485" s="359">
        <f t="shared" ca="1" si="206"/>
        <v>1.139858096673193</v>
      </c>
      <c r="W485" s="357">
        <f t="shared" ca="1" si="207"/>
        <v>153.65999697459603</v>
      </c>
      <c r="X485" s="343"/>
      <c r="Y485" s="367" t="str">
        <f t="shared" ca="1" si="225"/>
        <v/>
      </c>
      <c r="Z485" s="368" t="str">
        <f t="shared" ca="1" si="226"/>
        <v/>
      </c>
      <c r="AA485" s="369" t="str">
        <f t="shared" ca="1" si="227"/>
        <v/>
      </c>
      <c r="AB485" s="344"/>
      <c r="AC485" s="363" t="e">
        <f t="shared" ca="1" si="228"/>
        <v>#N/A</v>
      </c>
      <c r="AD485" s="376" t="e">
        <f t="shared" ca="1" si="229"/>
        <v>#N/A</v>
      </c>
      <c r="AE485" s="377">
        <f t="shared" ca="1" si="208"/>
        <v>720.05930035786787</v>
      </c>
      <c r="AF485" s="344"/>
      <c r="AG485" s="359">
        <f t="shared" ca="1" si="230"/>
        <v>-23.97972346470565</v>
      </c>
      <c r="AH485" s="357">
        <f t="shared" ca="1" si="231"/>
        <v>-14.476382622791714</v>
      </c>
    </row>
    <row r="486" spans="1:34" x14ac:dyDescent="0.25">
      <c r="A486" s="402">
        <f t="shared" ca="1" si="209"/>
        <v>0.01</v>
      </c>
      <c r="B486" s="357">
        <f t="shared" ca="1" si="210"/>
        <v>4.8199999999999417</v>
      </c>
      <c r="C486" s="342"/>
      <c r="D486" s="359">
        <f t="shared" ca="1" si="211"/>
        <v>-3.5847455082573569</v>
      </c>
      <c r="E486" s="360">
        <f t="shared" ca="1" si="212"/>
        <v>-23.802553974660562</v>
      </c>
      <c r="F486" s="357">
        <f t="shared" ca="1" si="213"/>
        <v>24.070977879504618</v>
      </c>
      <c r="G486" s="359">
        <f t="shared" ca="1" si="214"/>
        <v>60.263476001905602</v>
      </c>
      <c r="H486" s="360">
        <f t="shared" ca="1" si="215"/>
        <v>235.13197106500229</v>
      </c>
      <c r="I486" s="357">
        <f t="shared" ca="1" si="216"/>
        <v>242.73180746813</v>
      </c>
      <c r="J486" s="359">
        <f t="shared" ca="1" si="217"/>
        <v>170.34237914148432</v>
      </c>
      <c r="K486" s="360">
        <f t="shared" ca="1" si="218"/>
        <v>722.41181019621661</v>
      </c>
      <c r="L486" s="357">
        <f t="shared" ca="1" si="203"/>
        <v>742.22324784565706</v>
      </c>
      <c r="M486" s="359">
        <f t="shared" ca="1" si="219"/>
        <v>1.3199004824625875</v>
      </c>
      <c r="N486" s="357">
        <f t="shared" ca="1" si="220"/>
        <v>75.62472702238739</v>
      </c>
      <c r="O486" s="343"/>
      <c r="P486" s="363">
        <f t="shared" ca="1" si="221"/>
        <v>23</v>
      </c>
      <c r="Q486" s="357">
        <f t="shared" ca="1" si="222"/>
        <v>0</v>
      </c>
      <c r="R486" s="359">
        <f t="shared" ca="1" si="223"/>
        <v>0</v>
      </c>
      <c r="S486" s="360">
        <f t="shared" ca="1" si="224"/>
        <v>10.637999999999975</v>
      </c>
      <c r="T486" s="357">
        <f t="shared" ca="1" si="204"/>
        <v>104.35877999999975</v>
      </c>
      <c r="U486" s="364">
        <f t="shared" ca="1" si="205"/>
        <v>0</v>
      </c>
      <c r="V486" s="359">
        <f t="shared" ca="1" si="206"/>
        <v>1.1395896263817196</v>
      </c>
      <c r="W486" s="357">
        <f t="shared" ca="1" si="207"/>
        <v>153.32112934460153</v>
      </c>
      <c r="X486" s="343"/>
      <c r="Y486" s="367" t="str">
        <f t="shared" ca="1" si="225"/>
        <v/>
      </c>
      <c r="Z486" s="368" t="str">
        <f t="shared" ca="1" si="226"/>
        <v/>
      </c>
      <c r="AA486" s="369" t="str">
        <f t="shared" ca="1" si="227"/>
        <v/>
      </c>
      <c r="AB486" s="344"/>
      <c r="AC486" s="363" t="e">
        <f t="shared" ca="1" si="228"/>
        <v>#N/A</v>
      </c>
      <c r="AD486" s="376" t="e">
        <f t="shared" ca="1" si="229"/>
        <v>#N/A</v>
      </c>
      <c r="AE486" s="377">
        <f t="shared" ca="1" si="208"/>
        <v>722.41181019621661</v>
      </c>
      <c r="AF486" s="344"/>
      <c r="AG486" s="359">
        <f t="shared" ca="1" si="230"/>
        <v>-23.947541196560525</v>
      </c>
      <c r="AH486" s="357">
        <f t="shared" ca="1" si="231"/>
        <v>-14.444444160048542</v>
      </c>
    </row>
    <row r="487" spans="1:34" x14ac:dyDescent="0.25">
      <c r="A487" s="402">
        <f t="shared" ca="1" si="209"/>
        <v>0.01</v>
      </c>
      <c r="B487" s="357">
        <f t="shared" ca="1" si="210"/>
        <v>4.8299999999999415</v>
      </c>
      <c r="C487" s="342"/>
      <c r="D487" s="359">
        <f t="shared" ca="1" si="211"/>
        <v>-3.5782403766034765</v>
      </c>
      <c r="E487" s="360">
        <f t="shared" ca="1" si="212"/>
        <v>-23.771337256227085</v>
      </c>
      <c r="F487" s="357">
        <f t="shared" ca="1" si="213"/>
        <v>24.039140565794884</v>
      </c>
      <c r="G487" s="359">
        <f t="shared" ca="1" si="214"/>
        <v>60.227693598139567</v>
      </c>
      <c r="H487" s="360">
        <f t="shared" ca="1" si="215"/>
        <v>234.89425769244002</v>
      </c>
      <c r="I487" s="357">
        <f t="shared" ca="1" si="216"/>
        <v>242.49265426613195</v>
      </c>
      <c r="J487" s="359">
        <f t="shared" ca="1" si="217"/>
        <v>170.94483498948455</v>
      </c>
      <c r="K487" s="360">
        <f t="shared" ca="1" si="218"/>
        <v>724.76194134000377</v>
      </c>
      <c r="L487" s="357">
        <f t="shared" ca="1" si="203"/>
        <v>744.648916083622</v>
      </c>
      <c r="M487" s="359">
        <f t="shared" ca="1" si="219"/>
        <v>1.3198000444965492</v>
      </c>
      <c r="N487" s="357">
        <f t="shared" ca="1" si="220"/>
        <v>75.618972350830518</v>
      </c>
      <c r="O487" s="343"/>
      <c r="P487" s="363">
        <f t="shared" ca="1" si="221"/>
        <v>23</v>
      </c>
      <c r="Q487" s="357">
        <f t="shared" ca="1" si="222"/>
        <v>0</v>
      </c>
      <c r="R487" s="359">
        <f t="shared" ca="1" si="223"/>
        <v>0</v>
      </c>
      <c r="S487" s="360">
        <f t="shared" ca="1" si="224"/>
        <v>10.637999999999975</v>
      </c>
      <c r="T487" s="357">
        <f t="shared" ca="1" si="204"/>
        <v>104.35877999999975</v>
      </c>
      <c r="U487" s="364">
        <f t="shared" ca="1" si="205"/>
        <v>0</v>
      </c>
      <c r="V487" s="359">
        <f t="shared" ca="1" si="206"/>
        <v>1.1393214884055649</v>
      </c>
      <c r="W487" s="357">
        <f t="shared" ca="1" si="207"/>
        <v>152.9831523540312</v>
      </c>
      <c r="X487" s="343"/>
      <c r="Y487" s="367" t="str">
        <f t="shared" ca="1" si="225"/>
        <v/>
      </c>
      <c r="Z487" s="368" t="str">
        <f t="shared" ca="1" si="226"/>
        <v/>
      </c>
      <c r="AA487" s="369" t="str">
        <f t="shared" ca="1" si="227"/>
        <v/>
      </c>
      <c r="AB487" s="344"/>
      <c r="AC487" s="363" t="e">
        <f t="shared" ca="1" si="228"/>
        <v>#N/A</v>
      </c>
      <c r="AD487" s="376" t="e">
        <f t="shared" ca="1" si="229"/>
        <v>#N/A</v>
      </c>
      <c r="AE487" s="377">
        <f t="shared" ca="1" si="208"/>
        <v>724.76194134000377</v>
      </c>
      <c r="AF487" s="344"/>
      <c r="AG487" s="359">
        <f t="shared" ca="1" si="230"/>
        <v>-23.915442510492888</v>
      </c>
      <c r="AH487" s="357">
        <f t="shared" ca="1" si="231"/>
        <v>-14.412589710904482</v>
      </c>
    </row>
    <row r="488" spans="1:34" x14ac:dyDescent="0.25">
      <c r="A488" s="402">
        <f t="shared" ca="1" si="209"/>
        <v>0.01</v>
      </c>
      <c r="B488" s="357">
        <f t="shared" ca="1" si="210"/>
        <v>4.8399999999999412</v>
      </c>
      <c r="C488" s="342"/>
      <c r="D488" s="359">
        <f t="shared" ca="1" si="211"/>
        <v>-3.57175173859404</v>
      </c>
      <c r="E488" s="360">
        <f t="shared" ca="1" si="212"/>
        <v>-23.740202589139912</v>
      </c>
      <c r="F488" s="357">
        <f t="shared" ca="1" si="213"/>
        <v>24.007386976836003</v>
      </c>
      <c r="G488" s="359">
        <f t="shared" ca="1" si="214"/>
        <v>60.191976080753626</v>
      </c>
      <c r="H488" s="360">
        <f t="shared" ca="1" si="215"/>
        <v>234.65685566654861</v>
      </c>
      <c r="I488" s="357">
        <f t="shared" ca="1" si="216"/>
        <v>242.25382122025948</v>
      </c>
      <c r="J488" s="359">
        <f t="shared" ca="1" si="217"/>
        <v>171.54693333787901</v>
      </c>
      <c r="K488" s="360">
        <f t="shared" ca="1" si="218"/>
        <v>727.10969690679872</v>
      </c>
      <c r="L488" s="357">
        <f t="shared" ca="1" si="203"/>
        <v>747.07219308011145</v>
      </c>
      <c r="M488" s="359">
        <f t="shared" ca="1" si="219"/>
        <v>1.3196994681126544</v>
      </c>
      <c r="N488" s="357">
        <f t="shared" ca="1" si="220"/>
        <v>75.613209748514663</v>
      </c>
      <c r="O488" s="343"/>
      <c r="P488" s="363">
        <f t="shared" ca="1" si="221"/>
        <v>23</v>
      </c>
      <c r="Q488" s="357">
        <f t="shared" ca="1" si="222"/>
        <v>0</v>
      </c>
      <c r="R488" s="359">
        <f t="shared" ca="1" si="223"/>
        <v>0</v>
      </c>
      <c r="S488" s="360">
        <f t="shared" ca="1" si="224"/>
        <v>10.637999999999975</v>
      </c>
      <c r="T488" s="357">
        <f t="shared" ca="1" si="204"/>
        <v>104.35877999999975</v>
      </c>
      <c r="U488" s="364">
        <f t="shared" ca="1" si="205"/>
        <v>0</v>
      </c>
      <c r="V488" s="359">
        <f t="shared" ca="1" si="206"/>
        <v>1.1390536821837969</v>
      </c>
      <c r="W488" s="357">
        <f t="shared" ca="1" si="207"/>
        <v>152.64606291925881</v>
      </c>
      <c r="X488" s="343"/>
      <c r="Y488" s="367" t="str">
        <f t="shared" ca="1" si="225"/>
        <v/>
      </c>
      <c r="Z488" s="368" t="str">
        <f t="shared" ca="1" si="226"/>
        <v/>
      </c>
      <c r="AA488" s="369" t="str">
        <f t="shared" ca="1" si="227"/>
        <v/>
      </c>
      <c r="AB488" s="344"/>
      <c r="AC488" s="363" t="e">
        <f t="shared" ca="1" si="228"/>
        <v>#N/A</v>
      </c>
      <c r="AD488" s="376" t="e">
        <f t="shared" ca="1" si="229"/>
        <v>#N/A</v>
      </c>
      <c r="AE488" s="377">
        <f t="shared" ca="1" si="208"/>
        <v>727.10969690679872</v>
      </c>
      <c r="AF488" s="344"/>
      <c r="AG488" s="359">
        <f t="shared" ca="1" si="230"/>
        <v>-23.88342711449182</v>
      </c>
      <c r="AH488" s="357">
        <f t="shared" ca="1" si="231"/>
        <v>-14.380818984210524</v>
      </c>
    </row>
    <row r="489" spans="1:34" x14ac:dyDescent="0.25">
      <c r="A489" s="402">
        <f t="shared" ca="1" si="209"/>
        <v>0.01</v>
      </c>
      <c r="B489" s="357">
        <f t="shared" ca="1" si="210"/>
        <v>4.849999999999941</v>
      </c>
      <c r="C489" s="342"/>
      <c r="D489" s="359">
        <f t="shared" ca="1" si="211"/>
        <v>-3.5652795366420937</v>
      </c>
      <c r="E489" s="360">
        <f t="shared" ca="1" si="212"/>
        <v>-23.709149689292751</v>
      </c>
      <c r="F489" s="357">
        <f t="shared" ca="1" si="213"/>
        <v>23.97571682272898</v>
      </c>
      <c r="G489" s="359">
        <f t="shared" ca="1" si="214"/>
        <v>60.156323285387202</v>
      </c>
      <c r="H489" s="360">
        <f t="shared" ca="1" si="215"/>
        <v>234.41976416965568</v>
      </c>
      <c r="I489" s="357">
        <f t="shared" ca="1" si="216"/>
        <v>242.01530750052362</v>
      </c>
      <c r="J489" s="359">
        <f t="shared" ca="1" si="217"/>
        <v>172.14867483470971</v>
      </c>
      <c r="K489" s="360">
        <f t="shared" ca="1" si="218"/>
        <v>729.45508000597977</v>
      </c>
      <c r="L489" s="357">
        <f t="shared" ca="1" si="203"/>
        <v>749.49308201869155</v>
      </c>
      <c r="M489" s="359">
        <f t="shared" ca="1" si="219"/>
        <v>1.3195987531172628</v>
      </c>
      <c r="N489" s="357">
        <f t="shared" ca="1" si="220"/>
        <v>75.607439204345042</v>
      </c>
      <c r="O489" s="343"/>
      <c r="P489" s="363">
        <f t="shared" ca="1" si="221"/>
        <v>23</v>
      </c>
      <c r="Q489" s="357">
        <f t="shared" ca="1" si="222"/>
        <v>0</v>
      </c>
      <c r="R489" s="359">
        <f t="shared" ca="1" si="223"/>
        <v>0</v>
      </c>
      <c r="S489" s="360">
        <f t="shared" ca="1" si="224"/>
        <v>10.637999999999975</v>
      </c>
      <c r="T489" s="357">
        <f t="shared" ca="1" si="204"/>
        <v>104.35877999999975</v>
      </c>
      <c r="U489" s="364">
        <f t="shared" ca="1" si="205"/>
        <v>0</v>
      </c>
      <c r="V489" s="359">
        <f t="shared" ca="1" si="206"/>
        <v>1.1387862071570607</v>
      </c>
      <c r="W489" s="357">
        <f t="shared" ca="1" si="207"/>
        <v>152.30985797020278</v>
      </c>
      <c r="X489" s="343"/>
      <c r="Y489" s="367" t="str">
        <f t="shared" ca="1" si="225"/>
        <v/>
      </c>
      <c r="Z489" s="368" t="str">
        <f t="shared" ca="1" si="226"/>
        <v/>
      </c>
      <c r="AA489" s="369" t="str">
        <f t="shared" ca="1" si="227"/>
        <v/>
      </c>
      <c r="AB489" s="344"/>
      <c r="AC489" s="363" t="e">
        <f t="shared" ca="1" si="228"/>
        <v>#N/A</v>
      </c>
      <c r="AD489" s="376" t="e">
        <f t="shared" ca="1" si="229"/>
        <v>#N/A</v>
      </c>
      <c r="AE489" s="377">
        <f t="shared" ca="1" si="208"/>
        <v>729.45508000597977</v>
      </c>
      <c r="AF489" s="344"/>
      <c r="AG489" s="359">
        <f t="shared" ca="1" si="230"/>
        <v>-23.85149471782411</v>
      </c>
      <c r="AH489" s="357">
        <f t="shared" ca="1" si="231"/>
        <v>-14.349131690097684</v>
      </c>
    </row>
    <row r="490" spans="1:34" x14ac:dyDescent="0.25">
      <c r="A490" s="402">
        <f t="shared" ca="1" si="209"/>
        <v>0.01</v>
      </c>
      <c r="B490" s="357">
        <f t="shared" ca="1" si="210"/>
        <v>4.8599999999999408</v>
      </c>
      <c r="C490" s="342"/>
      <c r="D490" s="359">
        <f t="shared" ca="1" si="211"/>
        <v>-3.5588237134133318</v>
      </c>
      <c r="E490" s="360">
        <f t="shared" ca="1" si="212"/>
        <v>-23.678178273827189</v>
      </c>
      <c r="F490" s="357">
        <f t="shared" ca="1" si="213"/>
        <v>23.944129814848043</v>
      </c>
      <c r="G490" s="359">
        <f t="shared" ca="1" si="214"/>
        <v>60.120735048253067</v>
      </c>
      <c r="H490" s="360">
        <f t="shared" ca="1" si="215"/>
        <v>234.18298238691742</v>
      </c>
      <c r="I490" s="357">
        <f t="shared" ca="1" si="216"/>
        <v>241.77711227982999</v>
      </c>
      <c r="J490" s="359">
        <f t="shared" ca="1" si="217"/>
        <v>172.75006012637792</v>
      </c>
      <c r="K490" s="360">
        <f t="shared" ca="1" si="218"/>
        <v>731.79809373876265</v>
      </c>
      <c r="L490" s="357">
        <f t="shared" ca="1" si="203"/>
        <v>751.91158607468867</v>
      </c>
      <c r="M490" s="359">
        <f t="shared" ca="1" si="219"/>
        <v>1.3194978993162947</v>
      </c>
      <c r="N490" s="357">
        <f t="shared" ca="1" si="220"/>
        <v>75.601660707201717</v>
      </c>
      <c r="O490" s="343"/>
      <c r="P490" s="363">
        <f t="shared" ca="1" si="221"/>
        <v>23</v>
      </c>
      <c r="Q490" s="357">
        <f t="shared" ca="1" si="222"/>
        <v>0</v>
      </c>
      <c r="R490" s="359">
        <f t="shared" ca="1" si="223"/>
        <v>0</v>
      </c>
      <c r="S490" s="360">
        <f t="shared" ca="1" si="224"/>
        <v>10.637999999999975</v>
      </c>
      <c r="T490" s="357">
        <f t="shared" ca="1" si="204"/>
        <v>104.35877999999975</v>
      </c>
      <c r="U490" s="364">
        <f t="shared" ca="1" si="205"/>
        <v>0</v>
      </c>
      <c r="V490" s="359">
        <f t="shared" ca="1" si="206"/>
        <v>1.1385190627675732</v>
      </c>
      <c r="W490" s="357">
        <f t="shared" ca="1" si="207"/>
        <v>151.97453445025451</v>
      </c>
      <c r="X490" s="343"/>
      <c r="Y490" s="367" t="str">
        <f t="shared" ca="1" si="225"/>
        <v/>
      </c>
      <c r="Z490" s="368" t="str">
        <f t="shared" ca="1" si="226"/>
        <v/>
      </c>
      <c r="AA490" s="369" t="str">
        <f t="shared" ca="1" si="227"/>
        <v/>
      </c>
      <c r="AB490" s="344"/>
      <c r="AC490" s="363" t="e">
        <f t="shared" ca="1" si="228"/>
        <v>#N/A</v>
      </c>
      <c r="AD490" s="376" t="e">
        <f t="shared" ca="1" si="229"/>
        <v>#N/A</v>
      </c>
      <c r="AE490" s="377">
        <f t="shared" ca="1" si="208"/>
        <v>731.79809373876265</v>
      </c>
      <c r="AF490" s="344"/>
      <c r="AG490" s="359">
        <f t="shared" ca="1" si="230"/>
        <v>-23.819645031027456</v>
      </c>
      <c r="AH490" s="357">
        <f t="shared" ca="1" si="231"/>
        <v>-14.317527539970214</v>
      </c>
    </row>
    <row r="491" spans="1:34" x14ac:dyDescent="0.25">
      <c r="A491" s="402">
        <f t="shared" ca="1" si="209"/>
        <v>0.01</v>
      </c>
      <c r="B491" s="357">
        <f t="shared" ca="1" si="210"/>
        <v>4.8699999999999406</v>
      </c>
      <c r="C491" s="342"/>
      <c r="D491" s="359">
        <f t="shared" ca="1" si="211"/>
        <v>-3.5523842118247422</v>
      </c>
      <c r="E491" s="360">
        <f t="shared" ca="1" si="212"/>
        <v>-23.647288061126094</v>
      </c>
      <c r="F491" s="357">
        <f t="shared" ca="1" si="213"/>
        <v>23.912625665833904</v>
      </c>
      <c r="G491" s="359">
        <f t="shared" ca="1" si="214"/>
        <v>60.085211206134822</v>
      </c>
      <c r="H491" s="360">
        <f t="shared" ca="1" si="215"/>
        <v>233.94650950630614</v>
      </c>
      <c r="I491" s="357">
        <f t="shared" ca="1" si="216"/>
        <v>241.5392347339662</v>
      </c>
      <c r="J491" s="359">
        <f t="shared" ca="1" si="217"/>
        <v>173.35108985764987</v>
      </c>
      <c r="K491" s="360">
        <f t="shared" ca="1" si="218"/>
        <v>734.13874119822879</v>
      </c>
      <c r="L491" s="357">
        <f t="shared" ca="1" si="203"/>
        <v>754.32770841521858</v>
      </c>
      <c r="M491" s="359">
        <f t="shared" ca="1" si="219"/>
        <v>1.3193969065152278</v>
      </c>
      <c r="N491" s="357">
        <f t="shared" ca="1" si="220"/>
        <v>75.595874245939385</v>
      </c>
      <c r="O491" s="343"/>
      <c r="P491" s="363">
        <f t="shared" ca="1" si="221"/>
        <v>23</v>
      </c>
      <c r="Q491" s="357">
        <f t="shared" ca="1" si="222"/>
        <v>0</v>
      </c>
      <c r="R491" s="359">
        <f t="shared" ca="1" si="223"/>
        <v>0</v>
      </c>
      <c r="S491" s="360">
        <f t="shared" ca="1" si="224"/>
        <v>10.637999999999975</v>
      </c>
      <c r="T491" s="357">
        <f t="shared" ca="1" si="204"/>
        <v>104.35877999999975</v>
      </c>
      <c r="U491" s="364">
        <f t="shared" ca="1" si="205"/>
        <v>0</v>
      </c>
      <c r="V491" s="359">
        <f t="shared" ca="1" si="206"/>
        <v>1.1382522484591171</v>
      </c>
      <c r="W491" s="357">
        <f t="shared" ca="1" si="207"/>
        <v>151.64008931620702</v>
      </c>
      <c r="X491" s="343"/>
      <c r="Y491" s="367" t="str">
        <f t="shared" ca="1" si="225"/>
        <v/>
      </c>
      <c r="Z491" s="368" t="str">
        <f t="shared" ca="1" si="226"/>
        <v/>
      </c>
      <c r="AA491" s="369" t="str">
        <f t="shared" ca="1" si="227"/>
        <v/>
      </c>
      <c r="AB491" s="344"/>
      <c r="AC491" s="363" t="e">
        <f t="shared" ca="1" si="228"/>
        <v>#N/A</v>
      </c>
      <c r="AD491" s="376" t="e">
        <f t="shared" ca="1" si="229"/>
        <v>#N/A</v>
      </c>
      <c r="AE491" s="377">
        <f t="shared" ca="1" si="208"/>
        <v>734.13874119822879</v>
      </c>
      <c r="AF491" s="344"/>
      <c r="AG491" s="359">
        <f t="shared" ca="1" si="230"/>
        <v>-23.787877765903687</v>
      </c>
      <c r="AH491" s="357">
        <f t="shared" ca="1" si="231"/>
        <v>-14.286006246498859</v>
      </c>
    </row>
    <row r="492" spans="1:34" x14ac:dyDescent="0.25">
      <c r="A492" s="402">
        <f t="shared" ca="1" si="209"/>
        <v>0.01</v>
      </c>
      <c r="B492" s="357">
        <f t="shared" ca="1" si="210"/>
        <v>4.8799999999999404</v>
      </c>
      <c r="C492" s="342"/>
      <c r="D492" s="359">
        <f t="shared" ca="1" si="211"/>
        <v>-3.5459609750432977</v>
      </c>
      <c r="E492" s="360">
        <f t="shared" ca="1" si="212"/>
        <v>-23.616478770807035</v>
      </c>
      <c r="F492" s="357">
        <f t="shared" ca="1" si="213"/>
        <v>23.881204089587055</v>
      </c>
      <c r="G492" s="359">
        <f t="shared" ca="1" si="214"/>
        <v>60.04975159638439</v>
      </c>
      <c r="H492" s="360">
        <f t="shared" ca="1" si="215"/>
        <v>233.71034471859807</v>
      </c>
      <c r="I492" s="357">
        <f t="shared" ca="1" si="216"/>
        <v>241.30167404158931</v>
      </c>
      <c r="J492" s="359">
        <f t="shared" ca="1" si="217"/>
        <v>173.95176467166246</v>
      </c>
      <c r="K492" s="360">
        <f t="shared" ca="1" si="218"/>
        <v>736.47702546935329</v>
      </c>
      <c r="L492" s="357">
        <f t="shared" ca="1" si="203"/>
        <v>756.74145219921172</v>
      </c>
      <c r="M492" s="359">
        <f t="shared" ca="1" si="219"/>
        <v>1.3192957745190983</v>
      </c>
      <c r="N492" s="357">
        <f t="shared" ca="1" si="220"/>
        <v>75.590079809387433</v>
      </c>
      <c r="O492" s="343"/>
      <c r="P492" s="363">
        <f t="shared" ca="1" si="221"/>
        <v>23</v>
      </c>
      <c r="Q492" s="357">
        <f t="shared" ca="1" si="222"/>
        <v>0</v>
      </c>
      <c r="R492" s="359">
        <f t="shared" ca="1" si="223"/>
        <v>0</v>
      </c>
      <c r="S492" s="360">
        <f t="shared" ca="1" si="224"/>
        <v>10.637999999999975</v>
      </c>
      <c r="T492" s="357">
        <f t="shared" ca="1" si="204"/>
        <v>104.35877999999975</v>
      </c>
      <c r="U492" s="364">
        <f t="shared" ca="1" si="205"/>
        <v>0</v>
      </c>
      <c r="V492" s="359">
        <f t="shared" ca="1" si="206"/>
        <v>1.1379857636770354</v>
      </c>
      <c r="W492" s="357">
        <f t="shared" ca="1" si="207"/>
        <v>151.30651953818443</v>
      </c>
      <c r="X492" s="343"/>
      <c r="Y492" s="367" t="str">
        <f t="shared" ca="1" si="225"/>
        <v/>
      </c>
      <c r="Z492" s="368" t="str">
        <f t="shared" ca="1" si="226"/>
        <v/>
      </c>
      <c r="AA492" s="369" t="str">
        <f t="shared" ca="1" si="227"/>
        <v/>
      </c>
      <c r="AB492" s="344"/>
      <c r="AC492" s="363" t="e">
        <f t="shared" ca="1" si="228"/>
        <v>#N/A</v>
      </c>
      <c r="AD492" s="376" t="e">
        <f t="shared" ca="1" si="229"/>
        <v>#N/A</v>
      </c>
      <c r="AE492" s="377">
        <f t="shared" ca="1" si="208"/>
        <v>736.47702546935329</v>
      </c>
      <c r="AF492" s="344"/>
      <c r="AG492" s="359">
        <f t="shared" ca="1" si="230"/>
        <v>-23.75619263551209</v>
      </c>
      <c r="AH492" s="357">
        <f t="shared" ca="1" si="231"/>
        <v>-14.254567523614154</v>
      </c>
    </row>
    <row r="493" spans="1:34" x14ac:dyDescent="0.25">
      <c r="A493" s="402">
        <f t="shared" ca="1" si="209"/>
        <v>0.01</v>
      </c>
      <c r="B493" s="357">
        <f t="shared" ca="1" si="210"/>
        <v>4.8899999999999402</v>
      </c>
      <c r="C493" s="342"/>
      <c r="D493" s="359">
        <f t="shared" ca="1" si="211"/>
        <v>-3.5395539464846202</v>
      </c>
      <c r="E493" s="360">
        <f t="shared" ca="1" si="212"/>
        <v>-23.585750123715794</v>
      </c>
      <c r="F493" s="357">
        <f t="shared" ca="1" si="213"/>
        <v>23.849864801261127</v>
      </c>
      <c r="G493" s="359">
        <f t="shared" ca="1" si="214"/>
        <v>60.014356056919546</v>
      </c>
      <c r="H493" s="360">
        <f t="shared" ca="1" si="215"/>
        <v>233.47448721736092</v>
      </c>
      <c r="I493" s="357">
        <f t="shared" ca="1" si="216"/>
        <v>241.06442938421327</v>
      </c>
      <c r="J493" s="359">
        <f t="shared" ca="1" si="217"/>
        <v>174.55208520992898</v>
      </c>
      <c r="K493" s="360">
        <f t="shared" ca="1" si="218"/>
        <v>738.81294962903314</v>
      </c>
      <c r="L493" s="357">
        <f t="shared" ca="1" si="203"/>
        <v>759.15282057744241</v>
      </c>
      <c r="M493" s="359">
        <f t="shared" ca="1" si="219"/>
        <v>1.3191945031324981</v>
      </c>
      <c r="N493" s="357">
        <f t="shared" ca="1" si="220"/>
        <v>75.584277386349797</v>
      </c>
      <c r="O493" s="343"/>
      <c r="P493" s="363">
        <f t="shared" ca="1" si="221"/>
        <v>23</v>
      </c>
      <c r="Q493" s="357">
        <f t="shared" ca="1" si="222"/>
        <v>0</v>
      </c>
      <c r="R493" s="359">
        <f t="shared" ca="1" si="223"/>
        <v>0</v>
      </c>
      <c r="S493" s="360">
        <f t="shared" ca="1" si="224"/>
        <v>10.637999999999975</v>
      </c>
      <c r="T493" s="357">
        <f t="shared" ca="1" si="204"/>
        <v>104.35877999999975</v>
      </c>
      <c r="U493" s="364">
        <f t="shared" ca="1" si="205"/>
        <v>0</v>
      </c>
      <c r="V493" s="359">
        <f t="shared" ca="1" si="206"/>
        <v>1.1377196078682259</v>
      </c>
      <c r="W493" s="357">
        <f t="shared" ca="1" si="207"/>
        <v>150.97382209957135</v>
      </c>
      <c r="X493" s="343"/>
      <c r="Y493" s="367" t="str">
        <f t="shared" ca="1" si="225"/>
        <v/>
      </c>
      <c r="Z493" s="368" t="str">
        <f t="shared" ca="1" si="226"/>
        <v/>
      </c>
      <c r="AA493" s="369" t="str">
        <f t="shared" ca="1" si="227"/>
        <v/>
      </c>
      <c r="AB493" s="344"/>
      <c r="AC493" s="363" t="e">
        <f t="shared" ca="1" si="228"/>
        <v>#N/A</v>
      </c>
      <c r="AD493" s="376" t="e">
        <f t="shared" ca="1" si="229"/>
        <v>#N/A</v>
      </c>
      <c r="AE493" s="377">
        <f t="shared" ca="1" si="208"/>
        <v>738.81294962903314</v>
      </c>
      <c r="AF493" s="344"/>
      <c r="AG493" s="359">
        <f t="shared" ca="1" si="230"/>
        <v>-23.724589354162745</v>
      </c>
      <c r="AH493" s="357">
        <f t="shared" ca="1" si="231"/>
        <v>-14.223211086499791</v>
      </c>
    </row>
    <row r="494" spans="1:34" x14ac:dyDescent="0.25">
      <c r="A494" s="402">
        <f t="shared" ca="1" si="209"/>
        <v>0.01</v>
      </c>
      <c r="B494" s="357">
        <f t="shared" ca="1" si="210"/>
        <v>4.89999999999994</v>
      </c>
      <c r="C494" s="342"/>
      <c r="D494" s="359">
        <f t="shared" ca="1" si="211"/>
        <v>-3.5331630698116814</v>
      </c>
      <c r="E494" s="360">
        <f t="shared" ca="1" si="212"/>
        <v>-23.555101841919853</v>
      </c>
      <c r="F494" s="357">
        <f t="shared" ca="1" si="213"/>
        <v>23.818607517256275</v>
      </c>
      <c r="G494" s="359">
        <f t="shared" ca="1" si="214"/>
        <v>59.979024426221429</v>
      </c>
      <c r="H494" s="360">
        <f t="shared" ca="1" si="215"/>
        <v>233.23893619894173</v>
      </c>
      <c r="I494" s="357">
        <f t="shared" ca="1" si="216"/>
        <v>240.82749994619653</v>
      </c>
      <c r="J494" s="359">
        <f t="shared" ca="1" si="217"/>
        <v>175.15205211234468</v>
      </c>
      <c r="K494" s="360">
        <f t="shared" ca="1" si="218"/>
        <v>741.14651674611468</v>
      </c>
      <c r="L494" s="357">
        <f t="shared" ca="1" si="203"/>
        <v>761.56181669255477</v>
      </c>
      <c r="M494" s="359">
        <f t="shared" ca="1" si="219"/>
        <v>1.3190930921595754</v>
      </c>
      <c r="N494" s="357">
        <f t="shared" ca="1" si="220"/>
        <v>75.578466965605017</v>
      </c>
      <c r="O494" s="343"/>
      <c r="P494" s="363">
        <f t="shared" ca="1" si="221"/>
        <v>23</v>
      </c>
      <c r="Q494" s="357">
        <f t="shared" ca="1" si="222"/>
        <v>0</v>
      </c>
      <c r="R494" s="359">
        <f t="shared" ca="1" si="223"/>
        <v>0</v>
      </c>
      <c r="S494" s="360">
        <f t="shared" ca="1" si="224"/>
        <v>10.637999999999975</v>
      </c>
      <c r="T494" s="357">
        <f t="shared" ca="1" si="204"/>
        <v>104.35877999999975</v>
      </c>
      <c r="U494" s="364">
        <f t="shared" ca="1" si="205"/>
        <v>0</v>
      </c>
      <c r="V494" s="359">
        <f t="shared" ca="1" si="206"/>
        <v>1.137453780481136</v>
      </c>
      <c r="W494" s="357">
        <f t="shared" ca="1" si="207"/>
        <v>150.64199399694317</v>
      </c>
      <c r="X494" s="343"/>
      <c r="Y494" s="367" t="str">
        <f t="shared" ca="1" si="225"/>
        <v/>
      </c>
      <c r="Z494" s="368" t="str">
        <f t="shared" ca="1" si="226"/>
        <v/>
      </c>
      <c r="AA494" s="369" t="str">
        <f t="shared" ca="1" si="227"/>
        <v/>
      </c>
      <c r="AB494" s="344"/>
      <c r="AC494" s="363" t="e">
        <f t="shared" ca="1" si="228"/>
        <v>#N/A</v>
      </c>
      <c r="AD494" s="376" t="e">
        <f t="shared" ca="1" si="229"/>
        <v>#N/A</v>
      </c>
      <c r="AE494" s="377">
        <f t="shared" ca="1" si="208"/>
        <v>741.14651674611468</v>
      </c>
      <c r="AF494" s="344"/>
      <c r="AG494" s="359">
        <f t="shared" ca="1" si="230"/>
        <v>-23.693067637409904</v>
      </c>
      <c r="AH494" s="357">
        <f t="shared" ca="1" si="231"/>
        <v>-14.191936651585985</v>
      </c>
    </row>
    <row r="495" spans="1:34" x14ac:dyDescent="0.25">
      <c r="A495" s="402">
        <f t="shared" ca="1" si="209"/>
        <v>0.01</v>
      </c>
      <c r="B495" s="357">
        <f t="shared" ca="1" si="210"/>
        <v>4.9099999999999397</v>
      </c>
      <c r="C495" s="342"/>
      <c r="D495" s="359">
        <f t="shared" ca="1" si="211"/>
        <v>-3.5267882889334801</v>
      </c>
      <c r="E495" s="360">
        <f t="shared" ca="1" si="212"/>
        <v>-23.524533648701969</v>
      </c>
      <c r="F495" s="357">
        <f t="shared" ca="1" si="213"/>
        <v>23.7874319552126</v>
      </c>
      <c r="G495" s="359">
        <f t="shared" ca="1" si="214"/>
        <v>59.943756543332093</v>
      </c>
      <c r="H495" s="360">
        <f t="shared" ca="1" si="215"/>
        <v>233.0036908624547</v>
      </c>
      <c r="I495" s="357">
        <f t="shared" ca="1" si="216"/>
        <v>240.59088491472951</v>
      </c>
      <c r="J495" s="359">
        <f t="shared" ca="1" si="217"/>
        <v>175.75166601719243</v>
      </c>
      <c r="K495" s="360">
        <f t="shared" ca="1" si="218"/>
        <v>743.47772988142162</v>
      </c>
      <c r="L495" s="357">
        <f t="shared" ca="1" si="203"/>
        <v>763.96844367909</v>
      </c>
      <c r="M495" s="359">
        <f t="shared" ca="1" si="219"/>
        <v>1.3189915414040314</v>
      </c>
      <c r="N495" s="357">
        <f t="shared" ca="1" si="220"/>
        <v>75.572648535905984</v>
      </c>
      <c r="O495" s="343"/>
      <c r="P495" s="363">
        <f t="shared" ca="1" si="221"/>
        <v>23</v>
      </c>
      <c r="Q495" s="357">
        <f t="shared" ca="1" si="222"/>
        <v>0</v>
      </c>
      <c r="R495" s="359">
        <f t="shared" ca="1" si="223"/>
        <v>0</v>
      </c>
      <c r="S495" s="360">
        <f t="shared" ca="1" si="224"/>
        <v>10.637999999999975</v>
      </c>
      <c r="T495" s="357">
        <f t="shared" ca="1" si="204"/>
        <v>104.35877999999975</v>
      </c>
      <c r="U495" s="364">
        <f t="shared" ca="1" si="205"/>
        <v>0</v>
      </c>
      <c r="V495" s="359">
        <f t="shared" ca="1" si="206"/>
        <v>1.1371882809657541</v>
      </c>
      <c r="W495" s="357">
        <f t="shared" ca="1" si="207"/>
        <v>150.31103223999602</v>
      </c>
      <c r="X495" s="343"/>
      <c r="Y495" s="367" t="str">
        <f t="shared" ca="1" si="225"/>
        <v/>
      </c>
      <c r="Z495" s="368" t="str">
        <f t="shared" ca="1" si="226"/>
        <v/>
      </c>
      <c r="AA495" s="369" t="str">
        <f t="shared" ca="1" si="227"/>
        <v/>
      </c>
      <c r="AB495" s="344"/>
      <c r="AC495" s="363" t="e">
        <f t="shared" ca="1" si="228"/>
        <v>#N/A</v>
      </c>
      <c r="AD495" s="376" t="e">
        <f t="shared" ca="1" si="229"/>
        <v>#N/A</v>
      </c>
      <c r="AE495" s="377">
        <f t="shared" ca="1" si="208"/>
        <v>743.47772988142162</v>
      </c>
      <c r="AF495" s="344"/>
      <c r="AG495" s="359">
        <f t="shared" ca="1" si="230"/>
        <v>-23.661627202045395</v>
      </c>
      <c r="AH495" s="357">
        <f t="shared" ca="1" si="231"/>
        <v>-14.160743936542914</v>
      </c>
    </row>
    <row r="496" spans="1:34" x14ac:dyDescent="0.25">
      <c r="A496" s="402">
        <f t="shared" ca="1" si="209"/>
        <v>0.01</v>
      </c>
      <c r="B496" s="357">
        <f t="shared" ca="1" si="210"/>
        <v>4.9199999999999395</v>
      </c>
      <c r="C496" s="342"/>
      <c r="D496" s="359">
        <f t="shared" ca="1" si="211"/>
        <v>-3.5204295480037668</v>
      </c>
      <c r="E496" s="360">
        <f t="shared" ca="1" si="212"/>
        <v>-23.494045268553734</v>
      </c>
      <c r="F496" s="357">
        <f t="shared" ca="1" si="213"/>
        <v>23.756337834003585</v>
      </c>
      <c r="G496" s="359">
        <f t="shared" ca="1" si="214"/>
        <v>59.908552247852057</v>
      </c>
      <c r="H496" s="360">
        <f t="shared" ca="1" si="215"/>
        <v>232.76875040976915</v>
      </c>
      <c r="I496" s="357">
        <f t="shared" ca="1" si="216"/>
        <v>240.35458347982262</v>
      </c>
      <c r="J496" s="359">
        <f t="shared" ca="1" si="217"/>
        <v>176.35092756114835</v>
      </c>
      <c r="K496" s="360">
        <f t="shared" ca="1" si="218"/>
        <v>745.80659208778275</v>
      </c>
      <c r="L496" s="357">
        <f t="shared" ca="1" si="203"/>
        <v>766.37270466351401</v>
      </c>
      <c r="M496" s="359">
        <f t="shared" ca="1" si="219"/>
        <v>1.318889850669122</v>
      </c>
      <c r="N496" s="357">
        <f t="shared" ca="1" si="220"/>
        <v>75.566822085980078</v>
      </c>
      <c r="O496" s="343"/>
      <c r="P496" s="363">
        <f t="shared" ca="1" si="221"/>
        <v>23</v>
      </c>
      <c r="Q496" s="357">
        <f t="shared" ca="1" si="222"/>
        <v>0</v>
      </c>
      <c r="R496" s="359">
        <f t="shared" ca="1" si="223"/>
        <v>0</v>
      </c>
      <c r="S496" s="360">
        <f t="shared" ca="1" si="224"/>
        <v>10.637999999999975</v>
      </c>
      <c r="T496" s="357">
        <f t="shared" ca="1" si="204"/>
        <v>104.35877999999975</v>
      </c>
      <c r="U496" s="364">
        <f t="shared" ca="1" si="205"/>
        <v>0</v>
      </c>
      <c r="V496" s="359">
        <f t="shared" ca="1" si="206"/>
        <v>1.1369231087736089</v>
      </c>
      <c r="W496" s="357">
        <f t="shared" ca="1" si="207"/>
        <v>149.98093385147871</v>
      </c>
      <c r="X496" s="343"/>
      <c r="Y496" s="367" t="str">
        <f t="shared" ca="1" si="225"/>
        <v/>
      </c>
      <c r="Z496" s="368" t="str">
        <f t="shared" ca="1" si="226"/>
        <v/>
      </c>
      <c r="AA496" s="369" t="str">
        <f t="shared" ca="1" si="227"/>
        <v/>
      </c>
      <c r="AB496" s="344"/>
      <c r="AC496" s="363" t="e">
        <f t="shared" ca="1" si="228"/>
        <v>#N/A</v>
      </c>
      <c r="AD496" s="376" t="e">
        <f t="shared" ca="1" si="229"/>
        <v>#N/A</v>
      </c>
      <c r="AE496" s="377">
        <f t="shared" ca="1" si="208"/>
        <v>745.80659208778275</v>
      </c>
      <c r="AF496" s="344"/>
      <c r="AG496" s="359">
        <f t="shared" ca="1" si="230"/>
        <v>-23.630267766092075</v>
      </c>
      <c r="AH496" s="357">
        <f t="shared" ca="1" si="231"/>
        <v>-14.129632660274147</v>
      </c>
    </row>
    <row r="497" spans="1:34" x14ac:dyDescent="0.25">
      <c r="A497" s="402">
        <f t="shared" ca="1" si="209"/>
        <v>0.01</v>
      </c>
      <c r="B497" s="357">
        <f t="shared" ca="1" si="210"/>
        <v>4.9299999999999393</v>
      </c>
      <c r="C497" s="342"/>
      <c r="D497" s="359">
        <f t="shared" ca="1" si="211"/>
        <v>-3.5140867914197389</v>
      </c>
      <c r="E497" s="360">
        <f t="shared" ca="1" si="212"/>
        <v>-23.463636427169291</v>
      </c>
      <c r="F497" s="357">
        <f t="shared" ca="1" si="213"/>
        <v>23.725324873729683</v>
      </c>
      <c r="G497" s="359">
        <f t="shared" ca="1" si="214"/>
        <v>59.873411379937863</v>
      </c>
      <c r="H497" s="360">
        <f t="shared" ca="1" si="215"/>
        <v>232.53411404549746</v>
      </c>
      <c r="I497" s="357">
        <f t="shared" ca="1" si="216"/>
        <v>240.1185948342937</v>
      </c>
      <c r="J497" s="359">
        <f t="shared" ca="1" si="217"/>
        <v>176.94983737928732</v>
      </c>
      <c r="K497" s="360">
        <f t="shared" ca="1" si="218"/>
        <v>748.1331064100591</v>
      </c>
      <c r="L497" s="357">
        <f t="shared" ca="1" si="203"/>
        <v>768.77460276424392</v>
      </c>
      <c r="M497" s="359">
        <f t="shared" ca="1" si="219"/>
        <v>1.3187880197576543</v>
      </c>
      <c r="N497" s="357">
        <f t="shared" ca="1" si="220"/>
        <v>75.560987604529018</v>
      </c>
      <c r="O497" s="343"/>
      <c r="P497" s="363">
        <f t="shared" ca="1" si="221"/>
        <v>23</v>
      </c>
      <c r="Q497" s="357">
        <f t="shared" ca="1" si="222"/>
        <v>0</v>
      </c>
      <c r="R497" s="359">
        <f t="shared" ca="1" si="223"/>
        <v>0</v>
      </c>
      <c r="S497" s="360">
        <f t="shared" ca="1" si="224"/>
        <v>10.637999999999975</v>
      </c>
      <c r="T497" s="357">
        <f t="shared" ca="1" si="204"/>
        <v>104.35877999999975</v>
      </c>
      <c r="U497" s="364">
        <f t="shared" ca="1" si="205"/>
        <v>0</v>
      </c>
      <c r="V497" s="359">
        <f t="shared" ca="1" si="206"/>
        <v>1.1366582633577589</v>
      </c>
      <c r="W497" s="357">
        <f t="shared" ca="1" si="207"/>
        <v>149.65169586712301</v>
      </c>
      <c r="X497" s="343"/>
      <c r="Y497" s="367" t="str">
        <f t="shared" ca="1" si="225"/>
        <v/>
      </c>
      <c r="Z497" s="368" t="str">
        <f t="shared" ca="1" si="226"/>
        <v/>
      </c>
      <c r="AA497" s="369" t="str">
        <f t="shared" ca="1" si="227"/>
        <v/>
      </c>
      <c r="AB497" s="344"/>
      <c r="AC497" s="363" t="e">
        <f t="shared" ca="1" si="228"/>
        <v>#N/A</v>
      </c>
      <c r="AD497" s="376" t="e">
        <f t="shared" ca="1" si="229"/>
        <v>#N/A</v>
      </c>
      <c r="AE497" s="377">
        <f t="shared" ca="1" si="208"/>
        <v>748.1331064100591</v>
      </c>
      <c r="AF497" s="344"/>
      <c r="AG497" s="359">
        <f t="shared" ca="1" si="230"/>
        <v>-23.598989048797392</v>
      </c>
      <c r="AH497" s="357">
        <f t="shared" ca="1" si="231"/>
        <v>-14.098602542910234</v>
      </c>
    </row>
    <row r="498" spans="1:34" x14ac:dyDescent="0.25">
      <c r="A498" s="402">
        <f t="shared" ca="1" si="209"/>
        <v>0.01</v>
      </c>
      <c r="B498" s="357">
        <f t="shared" ca="1" si="210"/>
        <v>4.9399999999999391</v>
      </c>
      <c r="C498" s="342"/>
      <c r="D498" s="359">
        <f t="shared" ca="1" si="211"/>
        <v>-3.5077599638207686</v>
      </c>
      <c r="E498" s="360">
        <f t="shared" ca="1" si="212"/>
        <v>-23.433306851438914</v>
      </c>
      <c r="F498" s="357">
        <f t="shared" ca="1" si="213"/>
        <v>23.694392795711767</v>
      </c>
      <c r="G498" s="359">
        <f t="shared" ca="1" si="214"/>
        <v>59.838333780299656</v>
      </c>
      <c r="H498" s="360">
        <f t="shared" ca="1" si="215"/>
        <v>232.29978097698307</v>
      </c>
      <c r="I498" s="357">
        <f t="shared" ca="1" si="216"/>
        <v>239.88291817375588</v>
      </c>
      <c r="J498" s="359">
        <f t="shared" ca="1" si="217"/>
        <v>177.5483961050885</v>
      </c>
      <c r="K498" s="360">
        <f t="shared" ca="1" si="218"/>
        <v>750.4572758851715</v>
      </c>
      <c r="L498" s="357">
        <f t="shared" ca="1" si="203"/>
        <v>771.17414109167441</v>
      </c>
      <c r="M498" s="359">
        <f t="shared" ca="1" si="219"/>
        <v>1.3186860484719869</v>
      </c>
      <c r="N498" s="357">
        <f t="shared" ca="1" si="220"/>
        <v>75.555145080228755</v>
      </c>
      <c r="O498" s="343"/>
      <c r="P498" s="363">
        <f t="shared" ca="1" si="221"/>
        <v>23</v>
      </c>
      <c r="Q498" s="357">
        <f t="shared" ca="1" si="222"/>
        <v>0</v>
      </c>
      <c r="R498" s="359">
        <f t="shared" ca="1" si="223"/>
        <v>0</v>
      </c>
      <c r="S498" s="360">
        <f t="shared" ca="1" si="224"/>
        <v>10.637999999999975</v>
      </c>
      <c r="T498" s="357">
        <f t="shared" ca="1" si="204"/>
        <v>104.35877999999975</v>
      </c>
      <c r="U498" s="364">
        <f t="shared" ca="1" si="205"/>
        <v>0</v>
      </c>
      <c r="V498" s="359">
        <f t="shared" ca="1" si="206"/>
        <v>1.1363937441727903</v>
      </c>
      <c r="W498" s="357">
        <f t="shared" ca="1" si="207"/>
        <v>149.32331533557604</v>
      </c>
      <c r="X498" s="343"/>
      <c r="Y498" s="367" t="str">
        <f t="shared" ca="1" si="225"/>
        <v/>
      </c>
      <c r="Z498" s="368" t="str">
        <f t="shared" ca="1" si="226"/>
        <v/>
      </c>
      <c r="AA498" s="369" t="str">
        <f t="shared" ca="1" si="227"/>
        <v/>
      </c>
      <c r="AB498" s="344"/>
      <c r="AC498" s="363" t="e">
        <f t="shared" ca="1" si="228"/>
        <v>#N/A</v>
      </c>
      <c r="AD498" s="376" t="e">
        <f t="shared" ca="1" si="229"/>
        <v>#N/A</v>
      </c>
      <c r="AE498" s="377">
        <f t="shared" ca="1" si="208"/>
        <v>750.4572758851715</v>
      </c>
      <c r="AF498" s="344"/>
      <c r="AG498" s="359">
        <f t="shared" ca="1" si="230"/>
        <v>-23.567790770626836</v>
      </c>
      <c r="AH498" s="357">
        <f t="shared" ca="1" si="231"/>
        <v>-14.067653305802159</v>
      </c>
    </row>
    <row r="499" spans="1:34" x14ac:dyDescent="0.25">
      <c r="A499" s="402">
        <f t="shared" ca="1" si="209"/>
        <v>0.01</v>
      </c>
      <c r="B499" s="357">
        <f t="shared" ca="1" si="210"/>
        <v>4.9499999999999389</v>
      </c>
      <c r="C499" s="342"/>
      <c r="D499" s="359">
        <f t="shared" ca="1" si="211"/>
        <v>-3.5014490100871223</v>
      </c>
      <c r="E499" s="360">
        <f t="shared" ca="1" si="212"/>
        <v>-23.403056269442789</v>
      </c>
      <c r="F499" s="357">
        <f t="shared" ca="1" si="213"/>
        <v>23.663541322484797</v>
      </c>
      <c r="G499" s="359">
        <f t="shared" ca="1" si="214"/>
        <v>59.803319290198786</v>
      </c>
      <c r="H499" s="360">
        <f t="shared" ca="1" si="215"/>
        <v>232.06575041428866</v>
      </c>
      <c r="I499" s="357">
        <f t="shared" ca="1" si="216"/>
        <v>239.64755269660566</v>
      </c>
      <c r="J499" s="359">
        <f t="shared" ca="1" si="217"/>
        <v>178.146604370441</v>
      </c>
      <c r="K499" s="360">
        <f t="shared" ca="1" si="218"/>
        <v>752.77910354212781</v>
      </c>
      <c r="L499" s="357">
        <f t="shared" ca="1" si="203"/>
        <v>773.57132274820526</v>
      </c>
      <c r="M499" s="359">
        <f t="shared" ca="1" si="219"/>
        <v>1.3185839366140284</v>
      </c>
      <c r="N499" s="357">
        <f t="shared" ca="1" si="220"/>
        <v>75.549294501729491</v>
      </c>
      <c r="O499" s="343"/>
      <c r="P499" s="363">
        <f t="shared" ca="1" si="221"/>
        <v>23</v>
      </c>
      <c r="Q499" s="357">
        <f t="shared" ca="1" si="222"/>
        <v>0</v>
      </c>
      <c r="R499" s="359">
        <f t="shared" ca="1" si="223"/>
        <v>0</v>
      </c>
      <c r="S499" s="360">
        <f t="shared" ca="1" si="224"/>
        <v>10.637999999999975</v>
      </c>
      <c r="T499" s="357">
        <f t="shared" ca="1" si="204"/>
        <v>104.35877999999975</v>
      </c>
      <c r="U499" s="364">
        <f t="shared" ca="1" si="205"/>
        <v>0</v>
      </c>
      <c r="V499" s="359">
        <f t="shared" ca="1" si="206"/>
        <v>1.1361295506748095</v>
      </c>
      <c r="W499" s="357">
        <f t="shared" ca="1" si="207"/>
        <v>148.99578931833238</v>
      </c>
      <c r="X499" s="343"/>
      <c r="Y499" s="367" t="str">
        <f t="shared" ca="1" si="225"/>
        <v/>
      </c>
      <c r="Z499" s="368" t="str">
        <f t="shared" ca="1" si="226"/>
        <v/>
      </c>
      <c r="AA499" s="369" t="str">
        <f t="shared" ca="1" si="227"/>
        <v/>
      </c>
      <c r="AB499" s="344"/>
      <c r="AC499" s="363" t="e">
        <f t="shared" ca="1" si="228"/>
        <v>#N/A</v>
      </c>
      <c r="AD499" s="376" t="e">
        <f t="shared" ca="1" si="229"/>
        <v>#N/A</v>
      </c>
      <c r="AE499" s="377">
        <f t="shared" ca="1" si="208"/>
        <v>752.77910354212781</v>
      </c>
      <c r="AF499" s="344"/>
      <c r="AG499" s="359">
        <f t="shared" ca="1" si="230"/>
        <v>-23.536672653257568</v>
      </c>
      <c r="AH499" s="357">
        <f t="shared" ca="1" si="231"/>
        <v>-14.036784671514983</v>
      </c>
    </row>
    <row r="500" spans="1:34" x14ac:dyDescent="0.25">
      <c r="A500" s="402">
        <f t="shared" ca="1" si="209"/>
        <v>0.01</v>
      </c>
      <c r="B500" s="357">
        <f t="shared" ca="1" si="210"/>
        <v>4.9599999999999387</v>
      </c>
      <c r="C500" s="342"/>
      <c r="D500" s="359">
        <f t="shared" ca="1" si="211"/>
        <v>-3.4951538753387061</v>
      </c>
      <c r="E500" s="360">
        <f t="shared" ca="1" si="212"/>
        <v>-23.372884410444737</v>
      </c>
      <c r="F500" s="357">
        <f t="shared" ca="1" si="213"/>
        <v>23.632770177791382</v>
      </c>
      <c r="G500" s="359">
        <f t="shared" ca="1" si="214"/>
        <v>59.768367751445396</v>
      </c>
      <c r="H500" s="360">
        <f t="shared" ca="1" si="215"/>
        <v>231.83202157018422</v>
      </c>
      <c r="I500" s="357">
        <f t="shared" ca="1" si="216"/>
        <v>239.41249760401061</v>
      </c>
      <c r="J500" s="359">
        <f t="shared" ca="1" si="217"/>
        <v>178.74446280564922</v>
      </c>
      <c r="K500" s="360">
        <f t="shared" ca="1" si="218"/>
        <v>755.09859240205014</v>
      </c>
      <c r="L500" s="357">
        <f t="shared" ca="1" si="203"/>
        <v>775.96615082826747</v>
      </c>
      <c r="M500" s="359">
        <f t="shared" ca="1" si="219"/>
        <v>1.318481683985236</v>
      </c>
      <c r="N500" s="357">
        <f t="shared" ca="1" si="220"/>
        <v>75.543435857655567</v>
      </c>
      <c r="O500" s="343"/>
      <c r="P500" s="363">
        <f t="shared" ca="1" si="221"/>
        <v>23</v>
      </c>
      <c r="Q500" s="357">
        <f t="shared" ca="1" si="222"/>
        <v>0</v>
      </c>
      <c r="R500" s="359">
        <f t="shared" ca="1" si="223"/>
        <v>0</v>
      </c>
      <c r="S500" s="360">
        <f t="shared" ca="1" si="224"/>
        <v>10.637999999999975</v>
      </c>
      <c r="T500" s="357">
        <f t="shared" ca="1" si="204"/>
        <v>104.35877999999975</v>
      </c>
      <c r="U500" s="364">
        <f t="shared" ca="1" si="205"/>
        <v>0</v>
      </c>
      <c r="V500" s="359">
        <f t="shared" ca="1" si="206"/>
        <v>1.1358656823214388</v>
      </c>
      <c r="W500" s="357">
        <f t="shared" ca="1" si="207"/>
        <v>148.66911488966664</v>
      </c>
      <c r="X500" s="343"/>
      <c r="Y500" s="367" t="str">
        <f t="shared" ca="1" si="225"/>
        <v/>
      </c>
      <c r="Z500" s="368" t="str">
        <f t="shared" ca="1" si="226"/>
        <v/>
      </c>
      <c r="AA500" s="369" t="str">
        <f t="shared" ca="1" si="227"/>
        <v/>
      </c>
      <c r="AB500" s="344"/>
      <c r="AC500" s="363" t="e">
        <f t="shared" ca="1" si="228"/>
        <v>#N/A</v>
      </c>
      <c r="AD500" s="376" t="e">
        <f t="shared" ca="1" si="229"/>
        <v>#N/A</v>
      </c>
      <c r="AE500" s="377">
        <f t="shared" ca="1" si="208"/>
        <v>755.09859240205014</v>
      </c>
      <c r="AF500" s="344"/>
      <c r="AG500" s="359">
        <f t="shared" ca="1" si="230"/>
        <v>-23.505634419572061</v>
      </c>
      <c r="AH500" s="357">
        <f t="shared" ca="1" si="231"/>
        <v>-14.005996363821463</v>
      </c>
    </row>
    <row r="501" spans="1:34" x14ac:dyDescent="0.25">
      <c r="A501" s="402">
        <f t="shared" ca="1" si="209"/>
        <v>0.01</v>
      </c>
      <c r="B501" s="357">
        <f t="shared" ca="1" si="210"/>
        <v>4.9699999999999385</v>
      </c>
      <c r="C501" s="342"/>
      <c r="D501" s="359">
        <f t="shared" ca="1" si="211"/>
        <v>-3.4888745049338081</v>
      </c>
      <c r="E501" s="360">
        <f t="shared" ca="1" si="212"/>
        <v>-23.342791004886024</v>
      </c>
      <c r="F501" s="357">
        <f t="shared" ca="1" si="213"/>
        <v>23.602079086575511</v>
      </c>
      <c r="G501" s="359">
        <f t="shared" ca="1" si="214"/>
        <v>59.73347900639606</v>
      </c>
      <c r="H501" s="360">
        <f t="shared" ca="1" si="215"/>
        <v>231.59859366013535</v>
      </c>
      <c r="I501" s="357">
        <f t="shared" ca="1" si="216"/>
        <v>239.17775209989756</v>
      </c>
      <c r="J501" s="359">
        <f t="shared" ca="1" si="217"/>
        <v>179.34197203943842</v>
      </c>
      <c r="K501" s="360">
        <f t="shared" ca="1" si="218"/>
        <v>757.41574547820176</v>
      </c>
      <c r="L501" s="357">
        <f t="shared" ca="1" si="203"/>
        <v>778.35862841834978</v>
      </c>
      <c r="M501" s="359">
        <f t="shared" ca="1" si="219"/>
        <v>1.3183792903866154</v>
      </c>
      <c r="N501" s="357">
        <f t="shared" ca="1" si="220"/>
        <v>75.537569136605455</v>
      </c>
      <c r="O501" s="343"/>
      <c r="P501" s="363">
        <f t="shared" ca="1" si="221"/>
        <v>23</v>
      </c>
      <c r="Q501" s="357">
        <f t="shared" ca="1" si="222"/>
        <v>0</v>
      </c>
      <c r="R501" s="359">
        <f t="shared" ca="1" si="223"/>
        <v>0</v>
      </c>
      <c r="S501" s="360">
        <f t="shared" ca="1" si="224"/>
        <v>10.637999999999975</v>
      </c>
      <c r="T501" s="357">
        <f t="shared" ca="1" si="204"/>
        <v>104.35877999999975</v>
      </c>
      <c r="U501" s="364">
        <f t="shared" ca="1" si="205"/>
        <v>0</v>
      </c>
      <c r="V501" s="359">
        <f t="shared" ca="1" si="206"/>
        <v>1.1356021385718096</v>
      </c>
      <c r="W501" s="357">
        <f t="shared" ca="1" si="207"/>
        <v>148.34328913656628</v>
      </c>
      <c r="X501" s="343"/>
      <c r="Y501" s="367" t="str">
        <f t="shared" ca="1" si="225"/>
        <v/>
      </c>
      <c r="Z501" s="368" t="str">
        <f t="shared" ca="1" si="226"/>
        <v/>
      </c>
      <c r="AA501" s="369" t="str">
        <f t="shared" ca="1" si="227"/>
        <v/>
      </c>
      <c r="AB501" s="344"/>
      <c r="AC501" s="363" t="e">
        <f t="shared" ca="1" si="228"/>
        <v>#N/A</v>
      </c>
      <c r="AD501" s="376" t="e">
        <f t="shared" ca="1" si="229"/>
        <v>#N/A</v>
      </c>
      <c r="AE501" s="377">
        <f t="shared" ca="1" si="208"/>
        <v>757.41574547820176</v>
      </c>
      <c r="AF501" s="344"/>
      <c r="AG501" s="359">
        <f t="shared" ca="1" si="230"/>
        <v>-23.474675793651706</v>
      </c>
      <c r="AH501" s="357">
        <f t="shared" ca="1" si="231"/>
        <v>-13.975288107695713</v>
      </c>
    </row>
    <row r="502" spans="1:34" x14ac:dyDescent="0.25">
      <c r="A502" s="402">
        <f t="shared" ca="1" si="209"/>
        <v>0.01</v>
      </c>
      <c r="B502" s="357">
        <f t="shared" ca="1" si="210"/>
        <v>4.9799999999999383</v>
      </c>
      <c r="C502" s="342"/>
      <c r="D502" s="359">
        <f t="shared" ca="1" si="211"/>
        <v>-3.4826108444678292</v>
      </c>
      <c r="E502" s="360">
        <f t="shared" ca="1" si="212"/>
        <v>-23.312775784379163</v>
      </c>
      <c r="F502" s="357">
        <f t="shared" ca="1" si="213"/>
        <v>23.571467774976178</v>
      </c>
      <c r="G502" s="359">
        <f t="shared" ca="1" si="214"/>
        <v>59.698652897951384</v>
      </c>
      <c r="H502" s="360">
        <f t="shared" ca="1" si="215"/>
        <v>231.36546590229156</v>
      </c>
      <c r="I502" s="357">
        <f t="shared" ca="1" si="216"/>
        <v>238.9433153909406</v>
      </c>
      <c r="J502" s="359">
        <f t="shared" ca="1" si="217"/>
        <v>179.93913269896015</v>
      </c>
      <c r="K502" s="360">
        <f t="shared" ca="1" si="218"/>
        <v>759.73056577601392</v>
      </c>
      <c r="L502" s="357">
        <f t="shared" ca="1" si="203"/>
        <v>780.74875859702536</v>
      </c>
      <c r="M502" s="359">
        <f t="shared" ca="1" si="219"/>
        <v>1.3182767556187183</v>
      </c>
      <c r="N502" s="357">
        <f t="shared" ca="1" si="220"/>
        <v>75.531694327151584</v>
      </c>
      <c r="O502" s="343"/>
      <c r="P502" s="363">
        <f t="shared" ca="1" si="221"/>
        <v>23</v>
      </c>
      <c r="Q502" s="357">
        <f t="shared" ca="1" si="222"/>
        <v>0</v>
      </c>
      <c r="R502" s="359">
        <f t="shared" ca="1" si="223"/>
        <v>0</v>
      </c>
      <c r="S502" s="360">
        <f t="shared" ca="1" si="224"/>
        <v>10.637999999999975</v>
      </c>
      <c r="T502" s="357">
        <f t="shared" ca="1" si="204"/>
        <v>104.35877999999975</v>
      </c>
      <c r="U502" s="364">
        <f t="shared" ca="1" si="205"/>
        <v>0</v>
      </c>
      <c r="V502" s="359">
        <f t="shared" ca="1" si="206"/>
        <v>1.1353389188865584</v>
      </c>
      <c r="W502" s="357">
        <f t="shared" ca="1" si="207"/>
        <v>148.01830915866555</v>
      </c>
      <c r="X502" s="343"/>
      <c r="Y502" s="367" t="str">
        <f t="shared" ca="1" si="225"/>
        <v/>
      </c>
      <c r="Z502" s="368" t="str">
        <f t="shared" ca="1" si="226"/>
        <v/>
      </c>
      <c r="AA502" s="369" t="str">
        <f t="shared" ca="1" si="227"/>
        <v/>
      </c>
      <c r="AB502" s="344"/>
      <c r="AC502" s="363" t="e">
        <f t="shared" ca="1" si="228"/>
        <v>#N/A</v>
      </c>
      <c r="AD502" s="376" t="e">
        <f t="shared" ca="1" si="229"/>
        <v>#N/A</v>
      </c>
      <c r="AE502" s="377">
        <f t="shared" ca="1" si="208"/>
        <v>759.73056577601392</v>
      </c>
      <c r="AF502" s="344"/>
      <c r="AG502" s="359">
        <f t="shared" ca="1" si="230"/>
        <v>-23.443796500770528</v>
      </c>
      <c r="AH502" s="357">
        <f t="shared" ca="1" si="231"/>
        <v>-13.944659629306884</v>
      </c>
    </row>
    <row r="503" spans="1:34" x14ac:dyDescent="0.25">
      <c r="A503" s="402">
        <f t="shared" ca="1" si="209"/>
        <v>0.01</v>
      </c>
      <c r="B503" s="357">
        <f t="shared" ca="1" si="210"/>
        <v>4.989999999999938</v>
      </c>
      <c r="C503" s="342"/>
      <c r="D503" s="359">
        <f t="shared" ca="1" si="211"/>
        <v>-3.4763628397720741</v>
      </c>
      <c r="E503" s="360">
        <f t="shared" ca="1" si="212"/>
        <v>-23.282838481701816</v>
      </c>
      <c r="F503" s="357">
        <f t="shared" ca="1" si="213"/>
        <v>23.540935970321211</v>
      </c>
      <c r="G503" s="359">
        <f t="shared" ca="1" si="214"/>
        <v>59.663889269553664</v>
      </c>
      <c r="H503" s="360">
        <f t="shared" ca="1" si="215"/>
        <v>231.13263751747454</v>
      </c>
      <c r="I503" s="357">
        <f t="shared" ca="1" si="216"/>
        <v>238.70918668654929</v>
      </c>
      <c r="J503" s="359">
        <f t="shared" ca="1" si="217"/>
        <v>180.53594540979768</v>
      </c>
      <c r="K503" s="360">
        <f t="shared" ca="1" si="218"/>
        <v>762.04305629311273</v>
      </c>
      <c r="L503" s="357">
        <f t="shared" ca="1" si="203"/>
        <v>783.13654443497751</v>
      </c>
      <c r="M503" s="359">
        <f t="shared" ca="1" si="219"/>
        <v>1.3181740794816428</v>
      </c>
      <c r="N503" s="357">
        <f t="shared" ca="1" si="220"/>
        <v>75.525811417840458</v>
      </c>
      <c r="O503" s="343"/>
      <c r="P503" s="363">
        <f t="shared" ca="1" si="221"/>
        <v>23</v>
      </c>
      <c r="Q503" s="357">
        <f t="shared" ca="1" si="222"/>
        <v>0</v>
      </c>
      <c r="R503" s="359">
        <f t="shared" ca="1" si="223"/>
        <v>0</v>
      </c>
      <c r="S503" s="360">
        <f t="shared" ca="1" si="224"/>
        <v>10.637999999999975</v>
      </c>
      <c r="T503" s="357">
        <f t="shared" ca="1" si="204"/>
        <v>104.35877999999975</v>
      </c>
      <c r="U503" s="364">
        <f t="shared" ca="1" si="205"/>
        <v>0</v>
      </c>
      <c r="V503" s="359">
        <f t="shared" ca="1" si="206"/>
        <v>1.1350760227278198</v>
      </c>
      <c r="W503" s="357">
        <f t="shared" ca="1" si="207"/>
        <v>147.69417206817891</v>
      </c>
      <c r="X503" s="343"/>
      <c r="Y503" s="367" t="str">
        <f t="shared" ca="1" si="225"/>
        <v/>
      </c>
      <c r="Z503" s="368" t="str">
        <f t="shared" ca="1" si="226"/>
        <v/>
      </c>
      <c r="AA503" s="369" t="str">
        <f t="shared" ca="1" si="227"/>
        <v/>
      </c>
      <c r="AB503" s="344"/>
      <c r="AC503" s="363" t="e">
        <f t="shared" ca="1" si="228"/>
        <v>#N/A</v>
      </c>
      <c r="AD503" s="376" t="e">
        <f t="shared" ca="1" si="229"/>
        <v>#N/A</v>
      </c>
      <c r="AE503" s="377">
        <f t="shared" ca="1" si="208"/>
        <v>762.04305629311273</v>
      </c>
      <c r="AF503" s="344"/>
      <c r="AG503" s="359">
        <f t="shared" ca="1" si="230"/>
        <v>-23.412996267388948</v>
      </c>
      <c r="AH503" s="357">
        <f t="shared" ca="1" si="231"/>
        <v>-13.914110656012962</v>
      </c>
    </row>
    <row r="504" spans="1:34" x14ac:dyDescent="0.25">
      <c r="A504" s="402">
        <f t="shared" ca="1" si="209"/>
        <v>0.01</v>
      </c>
      <c r="B504" s="357">
        <f t="shared" ca="1" si="210"/>
        <v>4.9999999999999378</v>
      </c>
      <c r="C504" s="342"/>
      <c r="D504" s="359">
        <f t="shared" ca="1" si="211"/>
        <v>-3.4701304369124877</v>
      </c>
      <c r="E504" s="360">
        <f t="shared" ca="1" si="212"/>
        <v>-23.252978830790688</v>
      </c>
      <c r="F504" s="357">
        <f t="shared" ca="1" si="213"/>
        <v>23.510483401121007</v>
      </c>
      <c r="G504" s="359">
        <f t="shared" ca="1" si="214"/>
        <v>59.629187965184542</v>
      </c>
      <c r="H504" s="360">
        <f t="shared" ca="1" si="215"/>
        <v>230.90010772916662</v>
      </c>
      <c r="I504" s="357">
        <f t="shared" ca="1" si="216"/>
        <v>238.47536519885668</v>
      </c>
      <c r="J504" s="359">
        <f t="shared" ca="1" si="217"/>
        <v>181.13241079597137</v>
      </c>
      <c r="K504" s="360">
        <f t="shared" ca="1" si="218"/>
        <v>764.35322001934594</v>
      </c>
      <c r="L504" s="357">
        <f t="shared" ca="1" si="203"/>
        <v>785.52198899502696</v>
      </c>
      <c r="M504" s="359">
        <f t="shared" ca="1" si="219"/>
        <v>1.318071261775031</v>
      </c>
      <c r="N504" s="357">
        <f t="shared" ca="1" si="220"/>
        <v>75.519920397192394</v>
      </c>
      <c r="O504" s="343"/>
      <c r="P504" s="363">
        <f t="shared" ca="1" si="221"/>
        <v>23</v>
      </c>
      <c r="Q504" s="357">
        <f t="shared" ca="1" si="222"/>
        <v>0</v>
      </c>
      <c r="R504" s="359">
        <f t="shared" ca="1" si="223"/>
        <v>0</v>
      </c>
      <c r="S504" s="360">
        <f t="shared" ca="1" si="224"/>
        <v>10.637999999999975</v>
      </c>
      <c r="T504" s="357">
        <f t="shared" ca="1" si="204"/>
        <v>104.35877999999975</v>
      </c>
      <c r="U504" s="364">
        <f t="shared" ca="1" si="205"/>
        <v>0</v>
      </c>
      <c r="V504" s="359">
        <f t="shared" ca="1" si="206"/>
        <v>1.1348134495592224</v>
      </c>
      <c r="W504" s="357">
        <f t="shared" ca="1" si="207"/>
        <v>147.37087498983536</v>
      </c>
      <c r="X504" s="343"/>
      <c r="Y504" s="367" t="str">
        <f t="shared" ca="1" si="225"/>
        <v/>
      </c>
      <c r="Z504" s="368" t="str">
        <f t="shared" ca="1" si="226"/>
        <v/>
      </c>
      <c r="AA504" s="369" t="str">
        <f t="shared" ca="1" si="227"/>
        <v/>
      </c>
      <c r="AB504" s="344"/>
      <c r="AC504" s="363">
        <f t="shared" ca="1" si="228"/>
        <v>4.9999999999999378</v>
      </c>
      <c r="AD504" s="376">
        <f t="shared" ca="1" si="229"/>
        <v>181.13241079597137</v>
      </c>
      <c r="AE504" s="377">
        <f t="shared" ca="1" si="208"/>
        <v>764.35322001934594</v>
      </c>
      <c r="AF504" s="344"/>
      <c r="AG504" s="359">
        <f t="shared" ca="1" si="230"/>
        <v>-23.382274821147533</v>
      </c>
      <c r="AH504" s="357">
        <f t="shared" ca="1" si="231"/>
        <v>-13.883640916354508</v>
      </c>
    </row>
    <row r="505" spans="1:34" x14ac:dyDescent="0.25">
      <c r="A505" s="402">
        <f t="shared" ca="1" si="209"/>
        <v>0.1</v>
      </c>
      <c r="B505" s="357">
        <f t="shared" ca="1" si="210"/>
        <v>5.0999999999999375</v>
      </c>
      <c r="C505" s="342"/>
      <c r="D505" s="359">
        <f t="shared" ca="1" si="211"/>
        <v>-3.4639135821884457</v>
      </c>
      <c r="E505" s="360">
        <f t="shared" ca="1" si="212"/>
        <v>-23.223196566735446</v>
      </c>
      <c r="F505" s="357">
        <f t="shared" ca="1" si="213"/>
        <v>23.480109797062333</v>
      </c>
      <c r="G505" s="359">
        <f t="shared" ca="1" si="214"/>
        <v>59.282796606965697</v>
      </c>
      <c r="H505" s="360">
        <f t="shared" ca="1" si="215"/>
        <v>228.57778807249306</v>
      </c>
      <c r="I505" s="357">
        <f t="shared" ca="1" si="216"/>
        <v>236.14032940956193</v>
      </c>
      <c r="J505" s="359">
        <f t="shared" ca="1" si="217"/>
        <v>187.07801002457887</v>
      </c>
      <c r="K505" s="360">
        <f t="shared" ca="1" si="218"/>
        <v>787.32711480942896</v>
      </c>
      <c r="L505" s="357">
        <f t="shared" ca="1" si="203"/>
        <v>809.24790240623804</v>
      </c>
      <c r="M505" s="359">
        <f t="shared" ca="1" si="219"/>
        <v>1.3170325039859458</v>
      </c>
      <c r="N505" s="357">
        <f t="shared" ca="1" si="220"/>
        <v>75.460403959941473</v>
      </c>
      <c r="O505" s="343"/>
      <c r="P505" s="363">
        <f t="shared" ca="1" si="221"/>
        <v>23</v>
      </c>
      <c r="Q505" s="357">
        <f t="shared" ca="1" si="222"/>
        <v>0</v>
      </c>
      <c r="R505" s="359">
        <f t="shared" ca="1" si="223"/>
        <v>0</v>
      </c>
      <c r="S505" s="360">
        <f t="shared" ca="1" si="224"/>
        <v>10.637999999999975</v>
      </c>
      <c r="T505" s="357">
        <f t="shared" ca="1" si="204"/>
        <v>104.35877999999975</v>
      </c>
      <c r="U505" s="364">
        <f t="shared" ca="1" si="205"/>
        <v>0</v>
      </c>
      <c r="V505" s="359">
        <f t="shared" ca="1" si="206"/>
        <v>1.1322054131524748</v>
      </c>
      <c r="W505" s="357">
        <f t="shared" ca="1" si="207"/>
        <v>144.16694618180804</v>
      </c>
      <c r="X505" s="343"/>
      <c r="Y505" s="367" t="str">
        <f t="shared" ca="1" si="225"/>
        <v/>
      </c>
      <c r="Z505" s="368" t="str">
        <f t="shared" ca="1" si="226"/>
        <v/>
      </c>
      <c r="AA505" s="369" t="str">
        <f t="shared" ca="1" si="227"/>
        <v/>
      </c>
      <c r="AB505" s="344"/>
      <c r="AC505" s="363" t="e">
        <f t="shared" ca="1" si="228"/>
        <v>#N/A</v>
      </c>
      <c r="AD505" s="376" t="e">
        <f t="shared" ca="1" si="229"/>
        <v>#N/A</v>
      </c>
      <c r="AE505" s="377">
        <f t="shared" ca="1" si="208"/>
        <v>787.32711480942896</v>
      </c>
      <c r="AF505" s="344"/>
      <c r="AG505" s="359">
        <f t="shared" ca="1" si="230"/>
        <v>-23.351631890860801</v>
      </c>
      <c r="AH505" s="357">
        <f t="shared" ca="1" si="231"/>
        <v>-13.853250140048477</v>
      </c>
    </row>
    <row r="506" spans="1:34" x14ac:dyDescent="0.25">
      <c r="A506" s="402">
        <f t="shared" ca="1" si="209"/>
        <v>0.1</v>
      </c>
      <c r="B506" s="357">
        <f t="shared" ca="1" si="210"/>
        <v>5.1999999999999371</v>
      </c>
      <c r="C506" s="342"/>
      <c r="D506" s="359">
        <f t="shared" ca="1" si="211"/>
        <v>-3.4022343987092123</v>
      </c>
      <c r="E506" s="360">
        <f t="shared" ca="1" si="212"/>
        <v>-22.928058827705911</v>
      </c>
      <c r="F506" s="357">
        <f t="shared" ca="1" si="213"/>
        <v>23.179108708285209</v>
      </c>
      <c r="G506" s="359">
        <f t="shared" ca="1" si="214"/>
        <v>58.942573167094778</v>
      </c>
      <c r="H506" s="360">
        <f t="shared" ca="1" si="215"/>
        <v>226.28498218972248</v>
      </c>
      <c r="I506" s="357">
        <f t="shared" ca="1" si="216"/>
        <v>233.83566899889618</v>
      </c>
      <c r="J506" s="359">
        <f t="shared" ca="1" si="217"/>
        <v>192.9892785132819</v>
      </c>
      <c r="K506" s="360">
        <f t="shared" ca="1" si="218"/>
        <v>810.07025332253977</v>
      </c>
      <c r="L506" s="357">
        <f t="shared" ca="1" si="203"/>
        <v>832.74166278571704</v>
      </c>
      <c r="M506" s="359">
        <f t="shared" ca="1" si="219"/>
        <v>1.315979289443219</v>
      </c>
      <c r="N506" s="357">
        <f t="shared" ca="1" si="220"/>
        <v>75.400059211721413</v>
      </c>
      <c r="O506" s="343"/>
      <c r="P506" s="363">
        <f t="shared" ca="1" si="221"/>
        <v>23</v>
      </c>
      <c r="Q506" s="357">
        <f t="shared" ca="1" si="222"/>
        <v>0</v>
      </c>
      <c r="R506" s="359">
        <f t="shared" ca="1" si="223"/>
        <v>0</v>
      </c>
      <c r="S506" s="360">
        <f t="shared" ca="1" si="224"/>
        <v>10.637999999999975</v>
      </c>
      <c r="T506" s="357">
        <f t="shared" ca="1" si="204"/>
        <v>104.35877999999975</v>
      </c>
      <c r="U506" s="364">
        <f t="shared" ca="1" si="205"/>
        <v>0</v>
      </c>
      <c r="V506" s="359">
        <f t="shared" ca="1" si="206"/>
        <v>1.1296292445685834</v>
      </c>
      <c r="W506" s="357">
        <f t="shared" ca="1" si="207"/>
        <v>141.04496489337748</v>
      </c>
      <c r="X506" s="343"/>
      <c r="Y506" s="367" t="str">
        <f t="shared" ca="1" si="225"/>
        <v/>
      </c>
      <c r="Z506" s="368" t="str">
        <f t="shared" ca="1" si="226"/>
        <v/>
      </c>
      <c r="AA506" s="369" t="str">
        <f t="shared" ca="1" si="227"/>
        <v/>
      </c>
      <c r="AB506" s="344"/>
      <c r="AC506" s="363" t="e">
        <f t="shared" ca="1" si="228"/>
        <v>#N/A</v>
      </c>
      <c r="AD506" s="376" t="e">
        <f t="shared" ca="1" si="229"/>
        <v>#N/A</v>
      </c>
      <c r="AE506" s="377">
        <f t="shared" ca="1" si="208"/>
        <v>810.07025332253977</v>
      </c>
      <c r="AF506" s="344"/>
      <c r="AG506" s="359">
        <f t="shared" ca="1" si="230"/>
        <v>-23.047901030329186</v>
      </c>
      <c r="AH506" s="357">
        <f t="shared" ca="1" si="231"/>
        <v>-13.552072399117163</v>
      </c>
    </row>
    <row r="507" spans="1:34" x14ac:dyDescent="0.25">
      <c r="A507" s="402">
        <f t="shared" ca="1" si="209"/>
        <v>0.1</v>
      </c>
      <c r="B507" s="357">
        <f t="shared" ca="1" si="210"/>
        <v>5.2999999999999368</v>
      </c>
      <c r="C507" s="342"/>
      <c r="D507" s="359">
        <f t="shared" ca="1" si="211"/>
        <v>-3.3420730146077982</v>
      </c>
      <c r="E507" s="360">
        <f t="shared" ca="1" si="212"/>
        <v>-22.640470268805082</v>
      </c>
      <c r="F507" s="357">
        <f t="shared" ca="1" si="213"/>
        <v>22.885811019660558</v>
      </c>
      <c r="G507" s="359">
        <f t="shared" ca="1" si="214"/>
        <v>58.608365865633999</v>
      </c>
      <c r="H507" s="360">
        <f t="shared" ca="1" si="215"/>
        <v>224.02093516284197</v>
      </c>
      <c r="I507" s="357">
        <f t="shared" ca="1" si="216"/>
        <v>231.56061828530829</v>
      </c>
      <c r="J507" s="359">
        <f t="shared" ca="1" si="217"/>
        <v>198.86682546491835</v>
      </c>
      <c r="K507" s="360">
        <f t="shared" ca="1" si="218"/>
        <v>832.58554919016797</v>
      </c>
      <c r="L507" s="357">
        <f t="shared" ca="1" si="203"/>
        <v>856.00625639698922</v>
      </c>
      <c r="M507" s="359">
        <f t="shared" ca="1" si="219"/>
        <v>1.3149114087811353</v>
      </c>
      <c r="N507" s="357">
        <f t="shared" ca="1" si="220"/>
        <v>75.338874156760383</v>
      </c>
      <c r="O507" s="343"/>
      <c r="P507" s="363">
        <f t="shared" ca="1" si="221"/>
        <v>23</v>
      </c>
      <c r="Q507" s="357">
        <f t="shared" ca="1" si="222"/>
        <v>0</v>
      </c>
      <c r="R507" s="359">
        <f t="shared" ca="1" si="223"/>
        <v>0</v>
      </c>
      <c r="S507" s="360">
        <f t="shared" ca="1" si="224"/>
        <v>10.637999999999975</v>
      </c>
      <c r="T507" s="357">
        <f t="shared" ca="1" si="204"/>
        <v>104.35877999999975</v>
      </c>
      <c r="U507" s="364">
        <f t="shared" ca="1" si="205"/>
        <v>0</v>
      </c>
      <c r="V507" s="359">
        <f t="shared" ca="1" si="206"/>
        <v>1.1270844248689427</v>
      </c>
      <c r="W507" s="357">
        <f t="shared" ca="1" si="207"/>
        <v>138.00219432263987</v>
      </c>
      <c r="X507" s="343"/>
      <c r="Y507" s="367" t="str">
        <f t="shared" ca="1" si="225"/>
        <v/>
      </c>
      <c r="Z507" s="368" t="str">
        <f t="shared" ca="1" si="226"/>
        <v/>
      </c>
      <c r="AA507" s="369" t="str">
        <f t="shared" ca="1" si="227"/>
        <v/>
      </c>
      <c r="AB507" s="344"/>
      <c r="AC507" s="363" t="e">
        <f t="shared" ca="1" si="228"/>
        <v>#N/A</v>
      </c>
      <c r="AD507" s="376" t="e">
        <f t="shared" ca="1" si="229"/>
        <v>#N/A</v>
      </c>
      <c r="AE507" s="377">
        <f t="shared" ca="1" si="208"/>
        <v>832.58554919016797</v>
      </c>
      <c r="AF507" s="344"/>
      <c r="AG507" s="359">
        <f t="shared" ca="1" si="230"/>
        <v>-22.751827458632519</v>
      </c>
      <c r="AH507" s="357">
        <f t="shared" ca="1" si="231"/>
        <v>-13.258597940719854</v>
      </c>
    </row>
    <row r="508" spans="1:34" x14ac:dyDescent="0.25">
      <c r="A508" s="402">
        <f t="shared" ca="1" si="209"/>
        <v>0.1</v>
      </c>
      <c r="B508" s="357">
        <f t="shared" ca="1" si="210"/>
        <v>5.3999999999999364</v>
      </c>
      <c r="C508" s="342"/>
      <c r="D508" s="359">
        <f t="shared" ca="1" si="211"/>
        <v>-3.2833782575042143</v>
      </c>
      <c r="E508" s="360">
        <f t="shared" ca="1" si="212"/>
        <v>-22.360178747958173</v>
      </c>
      <c r="F508" s="357">
        <f t="shared" ca="1" si="213"/>
        <v>22.599959434089516</v>
      </c>
      <c r="G508" s="359">
        <f t="shared" ca="1" si="214"/>
        <v>58.280028039883575</v>
      </c>
      <c r="H508" s="360">
        <f t="shared" ca="1" si="215"/>
        <v>221.78491728804616</v>
      </c>
      <c r="I508" s="357">
        <f t="shared" ca="1" si="216"/>
        <v>229.31443741028409</v>
      </c>
      <c r="J508" s="359">
        <f t="shared" ca="1" si="217"/>
        <v>204.71124516019424</v>
      </c>
      <c r="K508" s="360">
        <f t="shared" ca="1" si="218"/>
        <v>854.87584181271234</v>
      </c>
      <c r="L508" s="357">
        <f t="shared" ca="1" si="203"/>
        <v>879.04459432387773</v>
      </c>
      <c r="M508" s="359">
        <f t="shared" ca="1" si="219"/>
        <v>1.3138286477778467</v>
      </c>
      <c r="N508" s="357">
        <f t="shared" ca="1" si="220"/>
        <v>75.276836521050598</v>
      </c>
      <c r="O508" s="343"/>
      <c r="P508" s="363">
        <f t="shared" ca="1" si="221"/>
        <v>23</v>
      </c>
      <c r="Q508" s="357">
        <f t="shared" ca="1" si="222"/>
        <v>0</v>
      </c>
      <c r="R508" s="359">
        <f t="shared" ca="1" si="223"/>
        <v>0</v>
      </c>
      <c r="S508" s="360">
        <f t="shared" ca="1" si="224"/>
        <v>10.637999999999975</v>
      </c>
      <c r="T508" s="357">
        <f t="shared" ca="1" si="204"/>
        <v>104.35877999999975</v>
      </c>
      <c r="U508" s="364">
        <f t="shared" ca="1" si="205"/>
        <v>0</v>
      </c>
      <c r="V508" s="359">
        <f t="shared" ca="1" si="206"/>
        <v>1.1245704492163935</v>
      </c>
      <c r="W508" s="357">
        <f t="shared" ca="1" si="207"/>
        <v>135.03601295133251</v>
      </c>
      <c r="X508" s="343"/>
      <c r="Y508" s="367" t="str">
        <f t="shared" ca="1" si="225"/>
        <v/>
      </c>
      <c r="Z508" s="368" t="str">
        <f t="shared" ca="1" si="226"/>
        <v/>
      </c>
      <c r="AA508" s="369" t="str">
        <f t="shared" ca="1" si="227"/>
        <v/>
      </c>
      <c r="AB508" s="344"/>
      <c r="AC508" s="363" t="e">
        <f t="shared" ca="1" si="228"/>
        <v>#N/A</v>
      </c>
      <c r="AD508" s="376" t="e">
        <f t="shared" ca="1" si="229"/>
        <v>#N/A</v>
      </c>
      <c r="AE508" s="377">
        <f t="shared" ca="1" si="208"/>
        <v>854.87584181271234</v>
      </c>
      <c r="AF508" s="344"/>
      <c r="AG508" s="359">
        <f t="shared" ca="1" si="230"/>
        <v>-22.463152958539975</v>
      </c>
      <c r="AH508" s="357">
        <f t="shared" ca="1" si="231"/>
        <v>-12.97256949827413</v>
      </c>
    </row>
    <row r="509" spans="1:34" x14ac:dyDescent="0.25">
      <c r="A509" s="402">
        <f t="shared" ca="1" si="209"/>
        <v>0.1</v>
      </c>
      <c r="B509" s="357">
        <f t="shared" ca="1" si="210"/>
        <v>5.4999999999999361</v>
      </c>
      <c r="C509" s="342"/>
      <c r="D509" s="359">
        <f t="shared" ca="1" si="211"/>
        <v>-3.2261011077670037</v>
      </c>
      <c r="E509" s="360">
        <f t="shared" ca="1" si="212"/>
        <v>-22.086942743736003</v>
      </c>
      <c r="F509" s="357">
        <f t="shared" ca="1" si="213"/>
        <v>22.321307491332313</v>
      </c>
      <c r="G509" s="359">
        <f t="shared" ca="1" si="214"/>
        <v>57.957417929106875</v>
      </c>
      <c r="H509" s="360">
        <f t="shared" ca="1" si="215"/>
        <v>219.57622301367255</v>
      </c>
      <c r="I509" s="357">
        <f t="shared" ca="1" si="216"/>
        <v>227.09641125733188</v>
      </c>
      <c r="J509" s="359">
        <f t="shared" ca="1" si="217"/>
        <v>210.52311745864375</v>
      </c>
      <c r="K509" s="360">
        <f t="shared" ca="1" si="218"/>
        <v>876.94389882779831</v>
      </c>
      <c r="L509" s="357">
        <f t="shared" ca="1" si="203"/>
        <v>901.85951493334346</v>
      </c>
      <c r="M509" s="359">
        <f t="shared" ca="1" si="219"/>
        <v>1.3127307872342648</v>
      </c>
      <c r="N509" s="357">
        <f t="shared" ca="1" si="220"/>
        <v>75.21393374540942</v>
      </c>
      <c r="O509" s="343"/>
      <c r="P509" s="363">
        <f t="shared" ca="1" si="221"/>
        <v>23</v>
      </c>
      <c r="Q509" s="357">
        <f t="shared" ca="1" si="222"/>
        <v>0</v>
      </c>
      <c r="R509" s="359">
        <f t="shared" ca="1" si="223"/>
        <v>0</v>
      </c>
      <c r="S509" s="360">
        <f t="shared" ca="1" si="224"/>
        <v>10.637999999999975</v>
      </c>
      <c r="T509" s="357">
        <f t="shared" ca="1" si="204"/>
        <v>104.35877999999975</v>
      </c>
      <c r="U509" s="364">
        <f t="shared" ca="1" si="205"/>
        <v>0</v>
      </c>
      <c r="V509" s="359">
        <f t="shared" ca="1" si="206"/>
        <v>1.1220868263793755</v>
      </c>
      <c r="W509" s="357">
        <f t="shared" ca="1" si="207"/>
        <v>132.14390873448622</v>
      </c>
      <c r="X509" s="343"/>
      <c r="Y509" s="367" t="str">
        <f t="shared" ca="1" si="225"/>
        <v/>
      </c>
      <c r="Z509" s="368" t="str">
        <f t="shared" ca="1" si="226"/>
        <v/>
      </c>
      <c r="AA509" s="369" t="str">
        <f t="shared" ca="1" si="227"/>
        <v/>
      </c>
      <c r="AB509" s="344"/>
      <c r="AC509" s="363" t="e">
        <f t="shared" ca="1" si="228"/>
        <v>#N/A</v>
      </c>
      <c r="AD509" s="376" t="e">
        <f t="shared" ca="1" si="229"/>
        <v>#N/A</v>
      </c>
      <c r="AE509" s="377">
        <f t="shared" ca="1" si="208"/>
        <v>876.94389882779831</v>
      </c>
      <c r="AF509" s="344"/>
      <c r="AG509" s="359">
        <f t="shared" ca="1" si="230"/>
        <v>-22.181630123378106</v>
      </c>
      <c r="AH509" s="357">
        <f t="shared" ca="1" si="231"/>
        <v>-12.693740642163267</v>
      </c>
    </row>
    <row r="510" spans="1:34" x14ac:dyDescent="0.25">
      <c r="A510" s="402">
        <f t="shared" ca="1" si="209"/>
        <v>0.1</v>
      </c>
      <c r="B510" s="357">
        <f t="shared" ca="1" si="210"/>
        <v>5.5999999999999357</v>
      </c>
      <c r="C510" s="342"/>
      <c r="D510" s="359">
        <f t="shared" ca="1" si="211"/>
        <v>-3.1701945899893027</v>
      </c>
      <c r="E510" s="360">
        <f t="shared" ca="1" si="212"/>
        <v>-21.82053082005298</v>
      </c>
      <c r="F510" s="357">
        <f t="shared" ca="1" si="213"/>
        <v>22.049619021817122</v>
      </c>
      <c r="G510" s="359">
        <f t="shared" ca="1" si="214"/>
        <v>57.640398470107947</v>
      </c>
      <c r="H510" s="360">
        <f t="shared" ca="1" si="215"/>
        <v>217.39416993166725</v>
      </c>
      <c r="I510" s="357">
        <f t="shared" ca="1" si="216"/>
        <v>224.90584842567219</v>
      </c>
      <c r="J510" s="359">
        <f t="shared" ca="1" si="217"/>
        <v>216.30300827860449</v>
      </c>
      <c r="K510" s="360">
        <f t="shared" ca="1" si="218"/>
        <v>898.79241847506535</v>
      </c>
      <c r="L510" s="357">
        <f t="shared" ca="1" si="203"/>
        <v>924.45378624279044</v>
      </c>
      <c r="M510" s="359">
        <f t="shared" ca="1" si="219"/>
        <v>1.3116176028490096</v>
      </c>
      <c r="N510" s="357">
        <f t="shared" ca="1" si="220"/>
        <v>75.150152978314438</v>
      </c>
      <c r="O510" s="343"/>
      <c r="P510" s="363">
        <f t="shared" ca="1" si="221"/>
        <v>23</v>
      </c>
      <c r="Q510" s="357">
        <f t="shared" ca="1" si="222"/>
        <v>0</v>
      </c>
      <c r="R510" s="359">
        <f t="shared" ca="1" si="223"/>
        <v>0</v>
      </c>
      <c r="S510" s="360">
        <f t="shared" ca="1" si="224"/>
        <v>10.637999999999975</v>
      </c>
      <c r="T510" s="357">
        <f t="shared" ca="1" si="204"/>
        <v>104.35877999999975</v>
      </c>
      <c r="U510" s="364">
        <f t="shared" ca="1" si="205"/>
        <v>0</v>
      </c>
      <c r="V510" s="359">
        <f t="shared" ca="1" si="206"/>
        <v>1.1196330782578017</v>
      </c>
      <c r="W510" s="357">
        <f t="shared" ca="1" si="207"/>
        <v>129.32347363076033</v>
      </c>
      <c r="X510" s="343"/>
      <c r="Y510" s="367" t="str">
        <f t="shared" ca="1" si="225"/>
        <v/>
      </c>
      <c r="Z510" s="368" t="str">
        <f t="shared" ca="1" si="226"/>
        <v/>
      </c>
      <c r="AA510" s="369" t="str">
        <f t="shared" ca="1" si="227"/>
        <v/>
      </c>
      <c r="AB510" s="344"/>
      <c r="AC510" s="363" t="e">
        <f t="shared" ca="1" si="228"/>
        <v>#N/A</v>
      </c>
      <c r="AD510" s="376" t="e">
        <f t="shared" ca="1" si="229"/>
        <v>#N/A</v>
      </c>
      <c r="AE510" s="377">
        <f t="shared" ca="1" si="208"/>
        <v>898.79241847506535</v>
      </c>
      <c r="AF510" s="344"/>
      <c r="AG510" s="359">
        <f t="shared" ca="1" si="230"/>
        <v>-21.907021810009567</v>
      </c>
      <c r="AH510" s="357">
        <f t="shared" ca="1" si="231"/>
        <v>-12.421875233548272</v>
      </c>
    </row>
    <row r="511" spans="1:34" x14ac:dyDescent="0.25">
      <c r="A511" s="402">
        <f t="shared" ca="1" si="209"/>
        <v>0.1</v>
      </c>
      <c r="B511" s="357">
        <f t="shared" ca="1" si="210"/>
        <v>5.6999999999999353</v>
      </c>
      <c r="C511" s="342"/>
      <c r="D511" s="359">
        <f t="shared" ca="1" si="211"/>
        <v>-3.1156136708292221</v>
      </c>
      <c r="E511" s="360">
        <f t="shared" ca="1" si="212"/>
        <v>-21.560721122251202</v>
      </c>
      <c r="F511" s="357">
        <f t="shared" ca="1" si="213"/>
        <v>21.784667632473695</v>
      </c>
      <c r="G511" s="359">
        <f t="shared" ca="1" si="214"/>
        <v>57.328837103025023</v>
      </c>
      <c r="H511" s="360">
        <f t="shared" ca="1" si="215"/>
        <v>215.23809781944212</v>
      </c>
      <c r="I511" s="357">
        <f t="shared" ca="1" si="216"/>
        <v>222.74208025543109</v>
      </c>
      <c r="J511" s="359">
        <f t="shared" ca="1" si="217"/>
        <v>222.05147005726116</v>
      </c>
      <c r="K511" s="360">
        <f t="shared" ca="1" si="218"/>
        <v>920.42403186262084</v>
      </c>
      <c r="L511" s="357">
        <f t="shared" ca="1" si="203"/>
        <v>946.83010819514698</v>
      </c>
      <c r="M511" s="359">
        <f t="shared" ca="1" si="219"/>
        <v>1.310488865089277</v>
      </c>
      <c r="N511" s="357">
        <f t="shared" ca="1" si="220"/>
        <v>75.085481068504706</v>
      </c>
      <c r="O511" s="343"/>
      <c r="P511" s="363">
        <f t="shared" ca="1" si="221"/>
        <v>23</v>
      </c>
      <c r="Q511" s="357">
        <f t="shared" ca="1" si="222"/>
        <v>0</v>
      </c>
      <c r="R511" s="359">
        <f t="shared" ca="1" si="223"/>
        <v>0</v>
      </c>
      <c r="S511" s="360">
        <f t="shared" ca="1" si="224"/>
        <v>10.637999999999975</v>
      </c>
      <c r="T511" s="357">
        <f t="shared" ca="1" si="204"/>
        <v>104.35877999999975</v>
      </c>
      <c r="U511" s="364">
        <f t="shared" ca="1" si="205"/>
        <v>0</v>
      </c>
      <c r="V511" s="359">
        <f t="shared" ca="1" si="206"/>
        <v>1.1172087394295207</v>
      </c>
      <c r="W511" s="357">
        <f t="shared" ca="1" si="207"/>
        <v>126.57239845073592</v>
      </c>
      <c r="X511" s="343"/>
      <c r="Y511" s="367" t="str">
        <f t="shared" ca="1" si="225"/>
        <v/>
      </c>
      <c r="Z511" s="368" t="str">
        <f t="shared" ca="1" si="226"/>
        <v/>
      </c>
      <c r="AA511" s="369" t="str">
        <f t="shared" ca="1" si="227"/>
        <v/>
      </c>
      <c r="AB511" s="344"/>
      <c r="AC511" s="363" t="e">
        <f t="shared" ca="1" si="228"/>
        <v>#N/A</v>
      </c>
      <c r="AD511" s="376" t="e">
        <f t="shared" ca="1" si="229"/>
        <v>#N/A</v>
      </c>
      <c r="AE511" s="377">
        <f t="shared" ca="1" si="208"/>
        <v>920.42403186262084</v>
      </c>
      <c r="AF511" s="344"/>
      <c r="AG511" s="359">
        <f t="shared" ca="1" si="230"/>
        <v>-21.63910062380554</v>
      </c>
      <c r="AH511" s="357">
        <f t="shared" ca="1" si="231"/>
        <v>-12.156746910204985</v>
      </c>
    </row>
    <row r="512" spans="1:34" x14ac:dyDescent="0.25">
      <c r="A512" s="402">
        <f t="shared" ca="1" si="209"/>
        <v>0.1</v>
      </c>
      <c r="B512" s="357">
        <f t="shared" ca="1" si="210"/>
        <v>5.799999999999935</v>
      </c>
      <c r="C512" s="342"/>
      <c r="D512" s="359">
        <f t="shared" ca="1" si="211"/>
        <v>-3.0623151627900649</v>
      </c>
      <c r="E512" s="360">
        <f t="shared" ca="1" si="212"/>
        <v>-21.307300902477035</v>
      </c>
      <c r="F512" s="357">
        <f t="shared" ca="1" si="213"/>
        <v>21.526236222455438</v>
      </c>
      <c r="G512" s="359">
        <f t="shared" ca="1" si="214"/>
        <v>57.022605586746018</v>
      </c>
      <c r="H512" s="360">
        <f t="shared" ca="1" si="215"/>
        <v>213.10736772919441</v>
      </c>
      <c r="I512" s="357">
        <f t="shared" ca="1" si="216"/>
        <v>220.60445990135307</v>
      </c>
      <c r="J512" s="359">
        <f t="shared" ca="1" si="217"/>
        <v>227.76904219174972</v>
      </c>
      <c r="K512" s="360">
        <f t="shared" ca="1" si="218"/>
        <v>941.84130514005267</v>
      </c>
      <c r="L512" s="357">
        <f t="shared" ca="1" si="203"/>
        <v>968.99111484515936</v>
      </c>
      <c r="M512" s="359">
        <f t="shared" ca="1" si="219"/>
        <v>1.3093443390574884</v>
      </c>
      <c r="N512" s="357">
        <f t="shared" ca="1" si="220"/>
        <v>75.019904557340354</v>
      </c>
      <c r="O512" s="343"/>
      <c r="P512" s="363">
        <f t="shared" ca="1" si="221"/>
        <v>23</v>
      </c>
      <c r="Q512" s="357">
        <f t="shared" ca="1" si="222"/>
        <v>0</v>
      </c>
      <c r="R512" s="359">
        <f t="shared" ca="1" si="223"/>
        <v>0</v>
      </c>
      <c r="S512" s="360">
        <f t="shared" ca="1" si="224"/>
        <v>10.637999999999975</v>
      </c>
      <c r="T512" s="357">
        <f t="shared" ca="1" si="204"/>
        <v>104.35877999999975</v>
      </c>
      <c r="U512" s="364">
        <f t="shared" ca="1" si="205"/>
        <v>0</v>
      </c>
      <c r="V512" s="359">
        <f t="shared" ca="1" si="206"/>
        <v>1.1148133567163092</v>
      </c>
      <c r="W512" s="357">
        <f t="shared" ca="1" si="207"/>
        <v>123.88846800214063</v>
      </c>
      <c r="X512" s="343"/>
      <c r="Y512" s="367" t="str">
        <f t="shared" ca="1" si="225"/>
        <v/>
      </c>
      <c r="Z512" s="368" t="str">
        <f t="shared" ca="1" si="226"/>
        <v/>
      </c>
      <c r="AA512" s="369" t="str">
        <f t="shared" ca="1" si="227"/>
        <v/>
      </c>
      <c r="AB512" s="344"/>
      <c r="AC512" s="363" t="e">
        <f t="shared" ca="1" si="228"/>
        <v>#N/A</v>
      </c>
      <c r="AD512" s="376" t="e">
        <f t="shared" ca="1" si="229"/>
        <v>#N/A</v>
      </c>
      <c r="AE512" s="377">
        <f t="shared" ca="1" si="208"/>
        <v>941.84130514005267</v>
      </c>
      <c r="AF512" s="344"/>
      <c r="AG512" s="359">
        <f t="shared" ca="1" si="230"/>
        <v>-21.377648433474441</v>
      </c>
      <c r="AH512" s="357">
        <f t="shared" ca="1" si="231"/>
        <v>-11.898138602250068</v>
      </c>
    </row>
    <row r="513" spans="1:34" x14ac:dyDescent="0.25">
      <c r="A513" s="402">
        <f t="shared" ca="1" si="209"/>
        <v>0.1</v>
      </c>
      <c r="B513" s="357">
        <f t="shared" ca="1" si="210"/>
        <v>5.8999999999999346</v>
      </c>
      <c r="C513" s="342"/>
      <c r="D513" s="359">
        <f t="shared" ca="1" si="211"/>
        <v>-3.0102576335476212</v>
      </c>
      <c r="E513" s="360">
        <f t="shared" ca="1" si="212"/>
        <v>-21.06006607241315</v>
      </c>
      <c r="F513" s="357">
        <f t="shared" ca="1" si="213"/>
        <v>21.274116526773543</v>
      </c>
      <c r="G513" s="359">
        <f t="shared" ca="1" si="214"/>
        <v>56.721579823391252</v>
      </c>
      <c r="H513" s="360">
        <f t="shared" ca="1" si="215"/>
        <v>211.0013611219531</v>
      </c>
      <c r="I513" s="357">
        <f t="shared" ca="1" si="216"/>
        <v>218.49236145224438</v>
      </c>
      <c r="J513" s="359">
        <f t="shared" ca="1" si="217"/>
        <v>233.45625146225657</v>
      </c>
      <c r="K513" s="360">
        <f t="shared" ca="1" si="218"/>
        <v>963.04674158261003</v>
      </c>
      <c r="L513" s="357">
        <f t="shared" ca="1" si="203"/>
        <v>990.93937646038205</v>
      </c>
      <c r="M513" s="359">
        <f t="shared" ca="1" si="219"/>
        <v>1.3081837843535746</v>
      </c>
      <c r="N513" s="357">
        <f t="shared" ca="1" si="220"/>
        <v>74.953409670912038</v>
      </c>
      <c r="O513" s="343"/>
      <c r="P513" s="363">
        <f t="shared" ca="1" si="221"/>
        <v>23</v>
      </c>
      <c r="Q513" s="357">
        <f t="shared" ca="1" si="222"/>
        <v>0</v>
      </c>
      <c r="R513" s="359">
        <f t="shared" ca="1" si="223"/>
        <v>0</v>
      </c>
      <c r="S513" s="360">
        <f t="shared" ca="1" si="224"/>
        <v>10.637999999999975</v>
      </c>
      <c r="T513" s="357">
        <f t="shared" ca="1" si="204"/>
        <v>104.35877999999975</v>
      </c>
      <c r="U513" s="364">
        <f t="shared" ca="1" si="205"/>
        <v>0</v>
      </c>
      <c r="V513" s="359">
        <f t="shared" ca="1" si="206"/>
        <v>1.1124464887683942</v>
      </c>
      <c r="W513" s="357">
        <f t="shared" ca="1" si="207"/>
        <v>121.26955651253292</v>
      </c>
      <c r="X513" s="343"/>
      <c r="Y513" s="367" t="str">
        <f t="shared" ca="1" si="225"/>
        <v/>
      </c>
      <c r="Z513" s="368" t="str">
        <f t="shared" ca="1" si="226"/>
        <v/>
      </c>
      <c r="AA513" s="369" t="str">
        <f t="shared" ca="1" si="227"/>
        <v/>
      </c>
      <c r="AB513" s="344"/>
      <c r="AC513" s="363" t="e">
        <f t="shared" ca="1" si="228"/>
        <v>#N/A</v>
      </c>
      <c r="AD513" s="376" t="e">
        <f t="shared" ca="1" si="229"/>
        <v>#N/A</v>
      </c>
      <c r="AE513" s="377">
        <f t="shared" ca="1" si="208"/>
        <v>963.04674158261003</v>
      </c>
      <c r="AF513" s="344"/>
      <c r="AG513" s="359">
        <f t="shared" ca="1" si="230"/>
        <v>-21.122455913769031</v>
      </c>
      <c r="AH513" s="357">
        <f t="shared" ca="1" si="231"/>
        <v>-11.645842075779369</v>
      </c>
    </row>
    <row r="514" spans="1:34" x14ac:dyDescent="0.25">
      <c r="A514" s="402">
        <f t="shared" ca="1" si="209"/>
        <v>0.1</v>
      </c>
      <c r="B514" s="357">
        <f t="shared" ca="1" si="210"/>
        <v>5.9999999999999343</v>
      </c>
      <c r="C514" s="342"/>
      <c r="D514" s="359">
        <f t="shared" ca="1" si="211"/>
        <v>-2.9594013204608318</v>
      </c>
      <c r="E514" s="360">
        <f t="shared" ca="1" si="212"/>
        <v>-20.81882078157193</v>
      </c>
      <c r="F514" s="357">
        <f t="shared" ca="1" si="213"/>
        <v>21.028108686012551</v>
      </c>
      <c r="G514" s="359">
        <f t="shared" ca="1" si="214"/>
        <v>56.425639691345168</v>
      </c>
      <c r="H514" s="360">
        <f t="shared" ca="1" si="215"/>
        <v>208.91947904379589</v>
      </c>
      <c r="I514" s="357">
        <f t="shared" ca="1" si="216"/>
        <v>216.40517909354335</v>
      </c>
      <c r="J514" s="359">
        <f t="shared" ca="1" si="217"/>
        <v>239.1136124379934</v>
      </c>
      <c r="K514" s="360">
        <f t="shared" ca="1" si="218"/>
        <v>984.04278359089744</v>
      </c>
      <c r="L514" s="357">
        <f t="shared" ca="1" si="203"/>
        <v>1012.677401540327</v>
      </c>
      <c r="M514" s="359">
        <f t="shared" ca="1" si="219"/>
        <v>1.3070069549327448</v>
      </c>
      <c r="N514" s="357">
        <f t="shared" ca="1" si="220"/>
        <v>74.885982311891667</v>
      </c>
      <c r="O514" s="343"/>
      <c r="P514" s="363">
        <f t="shared" ca="1" si="221"/>
        <v>23</v>
      </c>
      <c r="Q514" s="357">
        <f t="shared" ca="1" si="222"/>
        <v>0</v>
      </c>
      <c r="R514" s="359">
        <f t="shared" ca="1" si="223"/>
        <v>0</v>
      </c>
      <c r="S514" s="360">
        <f t="shared" ca="1" si="224"/>
        <v>10.637999999999975</v>
      </c>
      <c r="T514" s="357">
        <f t="shared" ca="1" si="204"/>
        <v>104.35877999999975</v>
      </c>
      <c r="U514" s="364">
        <f t="shared" ca="1" si="205"/>
        <v>0</v>
      </c>
      <c r="V514" s="359">
        <f t="shared" ca="1" si="206"/>
        <v>1.1101077056665662</v>
      </c>
      <c r="W514" s="357">
        <f t="shared" ca="1" si="207"/>
        <v>118.71362331140446</v>
      </c>
      <c r="X514" s="343"/>
      <c r="Y514" s="367" t="str">
        <f t="shared" ca="1" si="225"/>
        <v/>
      </c>
      <c r="Z514" s="368" t="str">
        <f t="shared" ca="1" si="226"/>
        <v/>
      </c>
      <c r="AA514" s="369" t="str">
        <f t="shared" ca="1" si="227"/>
        <v/>
      </c>
      <c r="AB514" s="344"/>
      <c r="AC514" s="363">
        <f t="shared" ca="1" si="228"/>
        <v>5.9999999999999343</v>
      </c>
      <c r="AD514" s="376">
        <f t="shared" ca="1" si="229"/>
        <v>239.1136124379934</v>
      </c>
      <c r="AE514" s="377">
        <f t="shared" ca="1" si="208"/>
        <v>984.04278359089744</v>
      </c>
      <c r="AF514" s="344"/>
      <c r="AG514" s="359">
        <f t="shared" ca="1" si="230"/>
        <v>-20.873322114239983</v>
      </c>
      <c r="AH514" s="357">
        <f t="shared" ca="1" si="231"/>
        <v>-11.399657502588193</v>
      </c>
    </row>
    <row r="515" spans="1:34" x14ac:dyDescent="0.25">
      <c r="A515" s="402">
        <f t="shared" ca="1" si="209"/>
        <v>0.1</v>
      </c>
      <c r="B515" s="357">
        <f t="shared" ca="1" si="210"/>
        <v>6.0999999999999339</v>
      </c>
      <c r="C515" s="342"/>
      <c r="D515" s="359">
        <f t="shared" ca="1" si="211"/>
        <v>-2.9097080499287951</v>
      </c>
      <c r="E515" s="360">
        <f t="shared" ca="1" si="212"/>
        <v>-20.583377019488267</v>
      </c>
      <c r="F515" s="357">
        <f t="shared" ca="1" si="213"/>
        <v>20.788020840431592</v>
      </c>
      <c r="G515" s="359">
        <f t="shared" ca="1" si="214"/>
        <v>56.134668886352287</v>
      </c>
      <c r="H515" s="360">
        <f t="shared" ca="1" si="215"/>
        <v>206.86114134184706</v>
      </c>
      <c r="I515" s="357">
        <f t="shared" ca="1" si="216"/>
        <v>214.34232631058205</v>
      </c>
      <c r="J515" s="359">
        <f t="shared" ca="1" si="217"/>
        <v>244.74162786687828</v>
      </c>
      <c r="K515" s="360">
        <f t="shared" ca="1" si="218"/>
        <v>1004.8318146101795</v>
      </c>
      <c r="L515" s="357">
        <f t="shared" ca="1" si="203"/>
        <v>1034.2076387571867</v>
      </c>
      <c r="M515" s="359">
        <f t="shared" ca="1" si="219"/>
        <v>1.3058135989585764</v>
      </c>
      <c r="N515" s="357">
        <f t="shared" ca="1" si="220"/>
        <v>74.817608051115101</v>
      </c>
      <c r="O515" s="343"/>
      <c r="P515" s="363">
        <f t="shared" ca="1" si="221"/>
        <v>23</v>
      </c>
      <c r="Q515" s="357">
        <f t="shared" ca="1" si="222"/>
        <v>0</v>
      </c>
      <c r="R515" s="359">
        <f t="shared" ca="1" si="223"/>
        <v>0</v>
      </c>
      <c r="S515" s="360">
        <f t="shared" ca="1" si="224"/>
        <v>10.637999999999975</v>
      </c>
      <c r="T515" s="357">
        <f t="shared" ca="1" si="204"/>
        <v>104.35877999999975</v>
      </c>
      <c r="U515" s="364">
        <f t="shared" ca="1" si="205"/>
        <v>0</v>
      </c>
      <c r="V515" s="359">
        <f t="shared" ca="1" si="206"/>
        <v>1.1077965885409957</v>
      </c>
      <c r="W515" s="357">
        <f t="shared" ca="1" si="207"/>
        <v>116.21870875497072</v>
      </c>
      <c r="X515" s="343"/>
      <c r="Y515" s="367" t="str">
        <f t="shared" ca="1" si="225"/>
        <v/>
      </c>
      <c r="Z515" s="368" t="str">
        <f t="shared" ca="1" si="226"/>
        <v/>
      </c>
      <c r="AA515" s="369" t="str">
        <f t="shared" ca="1" si="227"/>
        <v/>
      </c>
      <c r="AB515" s="344"/>
      <c r="AC515" s="363" t="e">
        <f t="shared" ca="1" si="228"/>
        <v>#N/A</v>
      </c>
      <c r="AD515" s="376" t="e">
        <f t="shared" ca="1" si="229"/>
        <v>#N/A</v>
      </c>
      <c r="AE515" s="377">
        <f t="shared" ca="1" si="208"/>
        <v>1004.8318146101795</v>
      </c>
      <c r="AF515" s="344"/>
      <c r="AG515" s="359">
        <f t="shared" ca="1" si="230"/>
        <v>-20.630054052338615</v>
      </c>
      <c r="AH515" s="357">
        <f t="shared" ca="1" si="231"/>
        <v>-11.159393054277565</v>
      </c>
    </row>
    <row r="516" spans="1:34" x14ac:dyDescent="0.25">
      <c r="A516" s="402">
        <f t="shared" ca="1" si="209"/>
        <v>0.1</v>
      </c>
      <c r="B516" s="357">
        <f t="shared" ca="1" si="210"/>
        <v>6.1999999999999336</v>
      </c>
      <c r="C516" s="342"/>
      <c r="D516" s="359">
        <f t="shared" ca="1" si="211"/>
        <v>-2.8611411612817021</v>
      </c>
      <c r="E516" s="360">
        <f t="shared" ca="1" si="212"/>
        <v>-20.353554240270327</v>
      </c>
      <c r="F516" s="357">
        <f t="shared" ca="1" si="213"/>
        <v>20.553668746878419</v>
      </c>
      <c r="G516" s="359">
        <f t="shared" ca="1" si="214"/>
        <v>55.848554770224119</v>
      </c>
      <c r="H516" s="360">
        <f t="shared" ca="1" si="215"/>
        <v>204.82578591782001</v>
      </c>
      <c r="I516" s="357">
        <f t="shared" ca="1" si="216"/>
        <v>212.30323513026212</v>
      </c>
      <c r="J516" s="359">
        <f t="shared" ca="1" si="217"/>
        <v>250.3407890497071</v>
      </c>
      <c r="K516" s="360">
        <f t="shared" ca="1" si="218"/>
        <v>1025.416160973163</v>
      </c>
      <c r="L516" s="357">
        <f t="shared" ref="L516:L579" ca="1" si="232">SQRT(pos_x^2+pos_z^2)</f>
        <v>1055.5324788214571</v>
      </c>
      <c r="M516" s="359">
        <f t="shared" ca="1" si="219"/>
        <v>1.30460345865127</v>
      </c>
      <c r="N516" s="357">
        <f t="shared" ca="1" si="220"/>
        <v>74.748272118887783</v>
      </c>
      <c r="O516" s="343"/>
      <c r="P516" s="363">
        <f t="shared" ca="1" si="221"/>
        <v>23</v>
      </c>
      <c r="Q516" s="357">
        <f t="shared" ca="1" si="222"/>
        <v>0</v>
      </c>
      <c r="R516" s="359">
        <f t="shared" ca="1" si="223"/>
        <v>0</v>
      </c>
      <c r="S516" s="360">
        <f t="shared" ca="1" si="224"/>
        <v>10.637999999999975</v>
      </c>
      <c r="T516" s="357">
        <f t="shared" ref="T516:T579" ca="1" si="233">m*g</f>
        <v>104.35877999999975</v>
      </c>
      <c r="U516" s="364">
        <f t="shared" ref="U516:U579" ca="1" si="234">IF(pos_xz&lt;L_rampe,Poids*COS(Beta),0)</f>
        <v>0</v>
      </c>
      <c r="V516" s="359">
        <f t="shared" ref="V516:V579" ca="1" si="235">Rho_moyen*(20000-Alt_rampe-pos_z)/(20000+Alt_rampe+pos_z)</f>
        <v>1.1055127292059284</v>
      </c>
      <c r="W516" s="357">
        <f t="shared" ref="W516:W579" ca="1" si="236">1/2*Rho*Sref*Cx*vit_xz^2</f>
        <v>113.78293037812909</v>
      </c>
      <c r="X516" s="343"/>
      <c r="Y516" s="367" t="str">
        <f t="shared" ca="1" si="225"/>
        <v/>
      </c>
      <c r="Z516" s="368" t="str">
        <f t="shared" ca="1" si="226"/>
        <v/>
      </c>
      <c r="AA516" s="369" t="str">
        <f t="shared" ca="1" si="227"/>
        <v/>
      </c>
      <c r="AB516" s="344"/>
      <c r="AC516" s="363" t="e">
        <f t="shared" ca="1" si="228"/>
        <v>#N/A</v>
      </c>
      <c r="AD516" s="376" t="e">
        <f t="shared" ca="1" si="229"/>
        <v>#N/A</v>
      </c>
      <c r="AE516" s="377">
        <f t="shared" ref="AE516:AE579" ca="1" si="237">IF(t&lt;T_para, pos_z, NA())</f>
        <v>1025.416160973163</v>
      </c>
      <c r="AF516" s="344"/>
      <c r="AG516" s="359">
        <f t="shared" ca="1" si="230"/>
        <v>-20.392466329294379</v>
      </c>
      <c r="AH516" s="357">
        <f t="shared" ca="1" si="231"/>
        <v>-10.924864519173811</v>
      </c>
    </row>
    <row r="517" spans="1:34" x14ac:dyDescent="0.25">
      <c r="A517" s="402">
        <f t="shared" ref="A517:A580" ca="1" si="238">IF(B516+0.01&lt;=T_ini+ROUNDUP(Temps_fin_propu,0), 0.01, IF(K516&gt;0, 0.1, 0.0001))</f>
        <v>0.1</v>
      </c>
      <c r="B517" s="357">
        <f t="shared" ref="B517:B580" ca="1" si="239">B516+pas</f>
        <v>6.2999999999999332</v>
      </c>
      <c r="C517" s="342"/>
      <c r="D517" s="359">
        <f t="shared" ref="D517:D580" ca="1" si="240">IF(AND(L516&lt;L_rampe,Poussee&lt;Poids*SIN(M516)),0,(-W516+Poussee)/m*COS(M516)-U516/m*SIN(M516))</f>
        <v>-2.8136654349157113</v>
      </c>
      <c r="E517" s="360">
        <f t="shared" ref="E517:E580" ca="1" si="241">IF(AND(L516&lt;L_rampe,Poussee&lt;Poids*SIN(M516)),0,(-W516+Poussee)/m*SIN(M516)+U516/m*COS(M516)-Poids/m)</f>
        <v>-20.129179008078438</v>
      </c>
      <c r="F517" s="357">
        <f t="shared" ref="F517:F580" ca="1" si="242">SQRT(acc_x^2+acc_z^2)</f>
        <v>20.32487541705742</v>
      </c>
      <c r="G517" s="359">
        <f t="shared" ref="G517:G580" ca="1" si="243">G516+acc_x*pas</f>
        <v>55.567188226732547</v>
      </c>
      <c r="H517" s="360">
        <f t="shared" ref="H517:H580" ca="1" si="244">H516+acc_z*pas</f>
        <v>202.81286801701216</v>
      </c>
      <c r="I517" s="357">
        <f t="shared" ref="I517:I580" ca="1" si="245">SQRT(vit_x^2+vit_z^2)</f>
        <v>210.28735539901376</v>
      </c>
      <c r="J517" s="359">
        <f t="shared" ref="J517:J580" ca="1" si="246">J516+0.5*(vit_x+G516)*pas*(K516&gt;=0)</f>
        <v>255.91157619955493</v>
      </c>
      <c r="K517" s="360">
        <f t="shared" ref="K517:K580" ca="1" si="247">K516+0.5*(vit_z+H516)*pas</f>
        <v>1045.7980936699046</v>
      </c>
      <c r="L517" s="357">
        <f t="shared" ca="1" si="232"/>
        <v>1076.6542562756845</v>
      </c>
      <c r="M517" s="359">
        <f t="shared" ref="M517:M580" ca="1" si="248">IF(AND(L516&gt;L_rampe,G517&gt;0),ATAN2(G517,H517),$M$4)</f>
        <v>1.3033762701308897</v>
      </c>
      <c r="N517" s="357">
        <f t="shared" ref="N517:N580" ca="1" si="249">DEGREES(Beta)</f>
        <v>74.677959396003089</v>
      </c>
      <c r="O517" s="343"/>
      <c r="P517" s="363">
        <f t="shared" ref="P517:P580" ca="1" si="250">MATCH(t-pas/2-T_ini,CdP_t)</f>
        <v>23</v>
      </c>
      <c r="Q517" s="357">
        <f t="shared" ref="Q517:Q580" ca="1" si="251">(INDEX(CdP,2,i_P+1)-INDEX(CdP,2,i_P+0))/(INDEX(CdP,1,i_P+1)-INDEX(CdP,1,i_P+0))*(t-pas/2-T_ini-INDEX(CdP,1,i_P+0))+INDEX(CdP,2,i_P+0)</f>
        <v>0</v>
      </c>
      <c r="R517" s="359">
        <f t="shared" ref="R517:R580" ca="1" si="252">Poussee/(g*ISP)</f>
        <v>0</v>
      </c>
      <c r="S517" s="360">
        <f t="shared" ref="S517:S580" ca="1" si="253">S516-Débit*pas</f>
        <v>10.637999999999975</v>
      </c>
      <c r="T517" s="357">
        <f t="shared" ca="1" si="233"/>
        <v>104.35877999999975</v>
      </c>
      <c r="U517" s="364">
        <f t="shared" ca="1" si="234"/>
        <v>0</v>
      </c>
      <c r="V517" s="359">
        <f t="shared" ca="1" si="235"/>
        <v>1.1032557298094614</v>
      </c>
      <c r="W517" s="357">
        <f t="shared" ca="1" si="236"/>
        <v>111.40447925917374</v>
      </c>
      <c r="X517" s="343"/>
      <c r="Y517" s="367" t="str">
        <f t="shared" ref="Y517:Y580" ca="1" si="254">IF(AND(pos_z&lt;=0,K516&gt;0),"Impact balistique","") &amp; IF(AND(H518&lt;0,vit_z&gt;=0),"Apogée","") &amp; IF(AND(Poussee=0,Q516&gt;0),"Fin de propulsion","") &amp; IF(AND(L518&gt;L_rampe,pos_xz&lt;=L_rampe),"Sortie de rampe","")</f>
        <v/>
      </c>
      <c r="Z517" s="368" t="str">
        <f t="shared" ref="Z517:Z580" ca="1" si="255">IF(ABS(t-T_para)&lt;pas/2,"Para","")</f>
        <v/>
      </c>
      <c r="AA517" s="369" t="str">
        <f t="shared" ref="AA517:AA580" ca="1" si="256">IF(ABS(t-T_satellite)&lt;pas/2,"Satellite","")</f>
        <v/>
      </c>
      <c r="AB517" s="344"/>
      <c r="AC517" s="363" t="e">
        <f t="shared" ref="AC517:AC580" ca="1" si="257">IF(ABS(t-ROUND(t,0))&lt;0.001,t,NA())</f>
        <v>#N/A</v>
      </c>
      <c r="AD517" s="376" t="e">
        <f t="shared" ref="AD517:AD580" ca="1" si="258">IF(ABS(t-ROUND(t,0))&lt;0.001,pos_x,NA())</f>
        <v>#N/A</v>
      </c>
      <c r="AE517" s="377">
        <f t="shared" ca="1" si="237"/>
        <v>1045.7980936699046</v>
      </c>
      <c r="AF517" s="344"/>
      <c r="AG517" s="359">
        <f t="shared" ref="AG517:AG580" ca="1" si="259">IF(AND(L516&lt;L_rampe,Poussee&lt;Poids*SIN(M516)),0,(-W516+Poussee)/m-Poids*SIN(M516)/m)</f>
        <v>-20.160380767306691</v>
      </c>
      <c r="AH517" s="357">
        <f t="shared" ref="AH517:AH580" ca="1" si="260">IF(AND(L516&lt;L_rampe,Poussee&lt;Poids*SIN(M516)), g*SIN(M516), (-W516+Poussee)/m)</f>
        <v>-10.695894940602496</v>
      </c>
    </row>
    <row r="518" spans="1:34" x14ac:dyDescent="0.25">
      <c r="A518" s="402">
        <f t="shared" ca="1" si="238"/>
        <v>0.1</v>
      </c>
      <c r="B518" s="357">
        <f t="shared" ca="1" si="239"/>
        <v>6.3999999999999329</v>
      </c>
      <c r="C518" s="342"/>
      <c r="D518" s="359">
        <f t="shared" ca="1" si="240"/>
        <v>-2.7672470244026748</v>
      </c>
      <c r="E518" s="360">
        <f t="shared" ca="1" si="241"/>
        <v>-19.910084662204454</v>
      </c>
      <c r="F518" s="357">
        <f t="shared" ca="1" si="242"/>
        <v>20.101470775796841</v>
      </c>
      <c r="G518" s="359">
        <f t="shared" ca="1" si="243"/>
        <v>55.290463524292278</v>
      </c>
      <c r="H518" s="360">
        <f t="shared" ca="1" si="244"/>
        <v>200.82185955079171</v>
      </c>
      <c r="I518" s="357">
        <f t="shared" ca="1" si="245"/>
        <v>208.29415409504176</v>
      </c>
      <c r="J518" s="359">
        <f t="shared" ca="1" si="246"/>
        <v>261.45445878710615</v>
      </c>
      <c r="K518" s="360">
        <f t="shared" ca="1" si="247"/>
        <v>1065.9798300482948</v>
      </c>
      <c r="L518" s="357">
        <f t="shared" ca="1" si="232"/>
        <v>1097.5752512194551</v>
      </c>
      <c r="M518" s="359">
        <f t="shared" ca="1" si="248"/>
        <v>1.3021317632554164</v>
      </c>
      <c r="N518" s="357">
        <f t="shared" ca="1" si="249"/>
        <v>74.606654404463441</v>
      </c>
      <c r="O518" s="343"/>
      <c r="P518" s="363">
        <f t="shared" ca="1" si="250"/>
        <v>23</v>
      </c>
      <c r="Q518" s="357">
        <f t="shared" ca="1" si="251"/>
        <v>0</v>
      </c>
      <c r="R518" s="359">
        <f t="shared" ca="1" si="252"/>
        <v>0</v>
      </c>
      <c r="S518" s="360">
        <f t="shared" ca="1" si="253"/>
        <v>10.637999999999975</v>
      </c>
      <c r="T518" s="357">
        <f t="shared" ca="1" si="233"/>
        <v>104.35877999999975</v>
      </c>
      <c r="U518" s="364">
        <f t="shared" ca="1" si="234"/>
        <v>0</v>
      </c>
      <c r="V518" s="359">
        <f t="shared" ca="1" si="235"/>
        <v>1.1010252024976741</v>
      </c>
      <c r="W518" s="357">
        <f t="shared" ca="1" si="236"/>
        <v>109.08161658388126</v>
      </c>
      <c r="X518" s="343"/>
      <c r="Y518" s="367" t="str">
        <f t="shared" ca="1" si="254"/>
        <v/>
      </c>
      <c r="Z518" s="368" t="str">
        <f t="shared" ca="1" si="255"/>
        <v/>
      </c>
      <c r="AA518" s="369" t="str">
        <f t="shared" ca="1" si="256"/>
        <v/>
      </c>
      <c r="AB518" s="344"/>
      <c r="AC518" s="363" t="e">
        <f t="shared" ca="1" si="257"/>
        <v>#N/A</v>
      </c>
      <c r="AD518" s="376" t="e">
        <f t="shared" ca="1" si="258"/>
        <v>#N/A</v>
      </c>
      <c r="AE518" s="377">
        <f t="shared" ca="1" si="237"/>
        <v>1065.9798300482948</v>
      </c>
      <c r="AF518" s="344"/>
      <c r="AG518" s="359">
        <f t="shared" ca="1" si="259"/>
        <v>-19.933626066694632</v>
      </c>
      <c r="AH518" s="357">
        <f t="shared" ca="1" si="260"/>
        <v>-10.472314275162061</v>
      </c>
    </row>
    <row r="519" spans="1:34" x14ac:dyDescent="0.25">
      <c r="A519" s="402">
        <f t="shared" ca="1" si="238"/>
        <v>0.1</v>
      </c>
      <c r="B519" s="357">
        <f t="shared" ca="1" si="239"/>
        <v>6.4999999999999325</v>
      </c>
      <c r="C519" s="342"/>
      <c r="D519" s="359">
        <f t="shared" ca="1" si="240"/>
        <v>-2.7218533923246371</v>
      </c>
      <c r="E519" s="360">
        <f t="shared" ca="1" si="241"/>
        <v>-19.696111000518343</v>
      </c>
      <c r="F519" s="357">
        <f t="shared" ca="1" si="242"/>
        <v>19.883291338056907</v>
      </c>
      <c r="G519" s="359">
        <f t="shared" ca="1" si="243"/>
        <v>55.018278185059813</v>
      </c>
      <c r="H519" s="360">
        <f t="shared" ca="1" si="244"/>
        <v>198.85224845073989</v>
      </c>
      <c r="I519" s="357">
        <f t="shared" ca="1" si="245"/>
        <v>206.32311467298911</v>
      </c>
      <c r="J519" s="359">
        <f t="shared" ca="1" si="246"/>
        <v>266.96989587257377</v>
      </c>
      <c r="K519" s="360">
        <f t="shared" ca="1" si="247"/>
        <v>1085.9635354483714</v>
      </c>
      <c r="L519" s="357">
        <f t="shared" ca="1" si="232"/>
        <v>1118.2976909686165</v>
      </c>
      <c r="M519" s="359">
        <f t="shared" ca="1" si="248"/>
        <v>1.3008696614534236</v>
      </c>
      <c r="N519" s="357">
        <f t="shared" ca="1" si="249"/>
        <v>74.534341297893405</v>
      </c>
      <c r="O519" s="343"/>
      <c r="P519" s="363">
        <f t="shared" ca="1" si="250"/>
        <v>23</v>
      </c>
      <c r="Q519" s="357">
        <f t="shared" ca="1" si="251"/>
        <v>0</v>
      </c>
      <c r="R519" s="359">
        <f t="shared" ca="1" si="252"/>
        <v>0</v>
      </c>
      <c r="S519" s="360">
        <f t="shared" ca="1" si="253"/>
        <v>10.637999999999975</v>
      </c>
      <c r="T519" s="357">
        <f t="shared" ca="1" si="233"/>
        <v>104.35877999999975</v>
      </c>
      <c r="U519" s="364">
        <f t="shared" ca="1" si="234"/>
        <v>0</v>
      </c>
      <c r="V519" s="359">
        <f t="shared" ca="1" si="235"/>
        <v>1.098820769092403</v>
      </c>
      <c r="W519" s="357">
        <f t="shared" ca="1" si="236"/>
        <v>106.81267039652225</v>
      </c>
      <c r="X519" s="343"/>
      <c r="Y519" s="367" t="str">
        <f t="shared" ca="1" si="254"/>
        <v/>
      </c>
      <c r="Z519" s="368" t="str">
        <f t="shared" ca="1" si="255"/>
        <v/>
      </c>
      <c r="AA519" s="369" t="str">
        <f t="shared" ca="1" si="256"/>
        <v/>
      </c>
      <c r="AB519" s="344"/>
      <c r="AC519" s="363" t="e">
        <f t="shared" ca="1" si="257"/>
        <v>#N/A</v>
      </c>
      <c r="AD519" s="376" t="e">
        <f t="shared" ca="1" si="258"/>
        <v>#N/A</v>
      </c>
      <c r="AE519" s="377">
        <f t="shared" ca="1" si="237"/>
        <v>1085.9635354483714</v>
      </c>
      <c r="AF519" s="344"/>
      <c r="AG519" s="359">
        <f t="shared" ca="1" si="259"/>
        <v>-19.712037481744339</v>
      </c>
      <c r="AH519" s="357">
        <f t="shared" ca="1" si="260"/>
        <v>-10.253959069738816</v>
      </c>
    </row>
    <row r="520" spans="1:34" x14ac:dyDescent="0.25">
      <c r="A520" s="402">
        <f t="shared" ca="1" si="238"/>
        <v>0.1</v>
      </c>
      <c r="B520" s="357">
        <f t="shared" ca="1" si="239"/>
        <v>6.5999999999999321</v>
      </c>
      <c r="C520" s="342"/>
      <c r="D520" s="359">
        <f t="shared" ca="1" si="240"/>
        <v>-2.677453249600716</v>
      </c>
      <c r="E520" s="360">
        <f t="shared" ca="1" si="241"/>
        <v>-19.487103980135462</v>
      </c>
      <c r="F520" s="357">
        <f t="shared" ca="1" si="242"/>
        <v>19.670179903508988</v>
      </c>
      <c r="G520" s="359">
        <f t="shared" ca="1" si="243"/>
        <v>54.750532860099739</v>
      </c>
      <c r="H520" s="360">
        <f t="shared" ca="1" si="244"/>
        <v>196.90353805272633</v>
      </c>
      <c r="I520" s="357">
        <f t="shared" ca="1" si="245"/>
        <v>204.37373643926537</v>
      </c>
      <c r="J520" s="359">
        <f t="shared" ca="1" si="246"/>
        <v>272.45833642483177</v>
      </c>
      <c r="K520" s="360">
        <f t="shared" ca="1" si="247"/>
        <v>1105.7513247735446</v>
      </c>
      <c r="L520" s="357">
        <f t="shared" ca="1" si="232"/>
        <v>1138.8237516516047</v>
      </c>
      <c r="M520" s="359">
        <f t="shared" ca="1" si="248"/>
        <v>1.2995896815511863</v>
      </c>
      <c r="N520" s="357">
        <f t="shared" ca="1" si="249"/>
        <v>74.461003851633635</v>
      </c>
      <c r="O520" s="343"/>
      <c r="P520" s="363">
        <f t="shared" ca="1" si="250"/>
        <v>23</v>
      </c>
      <c r="Q520" s="357">
        <f t="shared" ca="1" si="251"/>
        <v>0</v>
      </c>
      <c r="R520" s="359">
        <f t="shared" ca="1" si="252"/>
        <v>0</v>
      </c>
      <c r="S520" s="360">
        <f t="shared" ca="1" si="253"/>
        <v>10.637999999999975</v>
      </c>
      <c r="T520" s="357">
        <f t="shared" ca="1" si="233"/>
        <v>104.35877999999975</v>
      </c>
      <c r="U520" s="364">
        <f t="shared" ca="1" si="234"/>
        <v>0</v>
      </c>
      <c r="V520" s="359">
        <f t="shared" ca="1" si="235"/>
        <v>1.0966420607820153</v>
      </c>
      <c r="W520" s="357">
        <f t="shared" ca="1" si="236"/>
        <v>104.59603252622607</v>
      </c>
      <c r="X520" s="343"/>
      <c r="Y520" s="367" t="str">
        <f t="shared" ca="1" si="254"/>
        <v/>
      </c>
      <c r="Z520" s="368" t="str">
        <f t="shared" ca="1" si="255"/>
        <v/>
      </c>
      <c r="AA520" s="369" t="str">
        <f t="shared" ca="1" si="256"/>
        <v/>
      </c>
      <c r="AB520" s="344"/>
      <c r="AC520" s="363" t="e">
        <f t="shared" ca="1" si="257"/>
        <v>#N/A</v>
      </c>
      <c r="AD520" s="376" t="e">
        <f t="shared" ca="1" si="258"/>
        <v>#N/A</v>
      </c>
      <c r="AE520" s="377">
        <f t="shared" ca="1" si="237"/>
        <v>1105.7513247735446</v>
      </c>
      <c r="AF520" s="344"/>
      <c r="AG520" s="359">
        <f t="shared" ca="1" si="259"/>
        <v>-19.495456514082534</v>
      </c>
      <c r="AH520" s="357">
        <f t="shared" ca="1" si="260"/>
        <v>-10.040672156093486</v>
      </c>
    </row>
    <row r="521" spans="1:34" x14ac:dyDescent="0.25">
      <c r="A521" s="402">
        <f t="shared" ca="1" si="238"/>
        <v>0.1</v>
      </c>
      <c r="B521" s="357">
        <f t="shared" ca="1" si="239"/>
        <v>6.6999999999999318</v>
      </c>
      <c r="C521" s="342"/>
      <c r="D521" s="359">
        <f t="shared" ca="1" si="240"/>
        <v>-2.6340164980901934</v>
      </c>
      <c r="E521" s="360">
        <f t="shared" ca="1" si="241"/>
        <v>-19.282915434238323</v>
      </c>
      <c r="F521" s="357">
        <f t="shared" ca="1" si="242"/>
        <v>19.461985267597903</v>
      </c>
      <c r="G521" s="359">
        <f t="shared" ca="1" si="243"/>
        <v>54.48713121029072</v>
      </c>
      <c r="H521" s="360">
        <f t="shared" ca="1" si="244"/>
        <v>194.97524650930251</v>
      </c>
      <c r="I521" s="357">
        <f t="shared" ca="1" si="245"/>
        <v>202.44553395639704</v>
      </c>
      <c r="J521" s="359">
        <f t="shared" ca="1" si="246"/>
        <v>277.92021962835128</v>
      </c>
      <c r="K521" s="360">
        <f t="shared" ca="1" si="247"/>
        <v>1125.345264001646</v>
      </c>
      <c r="L521" s="357">
        <f t="shared" ca="1" si="232"/>
        <v>1159.1555597456302</v>
      </c>
      <c r="M521" s="359">
        <f t="shared" ca="1" si="248"/>
        <v>1.2982915335940168</v>
      </c>
      <c r="N521" s="357">
        <f t="shared" ca="1" si="249"/>
        <v>74.386625452504305</v>
      </c>
      <c r="O521" s="343"/>
      <c r="P521" s="363">
        <f t="shared" ca="1" si="250"/>
        <v>23</v>
      </c>
      <c r="Q521" s="357">
        <f t="shared" ca="1" si="251"/>
        <v>0</v>
      </c>
      <c r="R521" s="359">
        <f t="shared" ca="1" si="252"/>
        <v>0</v>
      </c>
      <c r="S521" s="360">
        <f t="shared" ca="1" si="253"/>
        <v>10.637999999999975</v>
      </c>
      <c r="T521" s="357">
        <f t="shared" ca="1" si="233"/>
        <v>104.35877999999975</v>
      </c>
      <c r="U521" s="364">
        <f t="shared" ca="1" si="234"/>
        <v>0</v>
      </c>
      <c r="V521" s="359">
        <f t="shared" ca="1" si="235"/>
        <v>1.0944887178245448</v>
      </c>
      <c r="W521" s="357">
        <f t="shared" ca="1" si="236"/>
        <v>102.4301556779257</v>
      </c>
      <c r="X521" s="343"/>
      <c r="Y521" s="367" t="str">
        <f t="shared" ca="1" si="254"/>
        <v/>
      </c>
      <c r="Z521" s="368" t="str">
        <f t="shared" ca="1" si="255"/>
        <v/>
      </c>
      <c r="AA521" s="369" t="str">
        <f t="shared" ca="1" si="256"/>
        <v/>
      </c>
      <c r="AB521" s="344"/>
      <c r="AC521" s="363" t="e">
        <f t="shared" ca="1" si="257"/>
        <v>#N/A</v>
      </c>
      <c r="AD521" s="376" t="e">
        <f t="shared" ca="1" si="258"/>
        <v>#N/A</v>
      </c>
      <c r="AE521" s="377">
        <f t="shared" ca="1" si="237"/>
        <v>1125.345264001646</v>
      </c>
      <c r="AF521" s="344"/>
      <c r="AG521" s="359">
        <f t="shared" ca="1" si="259"/>
        <v>-19.283730622486182</v>
      </c>
      <c r="AH521" s="357">
        <f t="shared" ca="1" si="260"/>
        <v>-9.8323023619314078</v>
      </c>
    </row>
    <row r="522" spans="1:34" x14ac:dyDescent="0.25">
      <c r="A522" s="402">
        <f t="shared" ca="1" si="238"/>
        <v>0.1</v>
      </c>
      <c r="B522" s="357">
        <f t="shared" ca="1" si="239"/>
        <v>6.7999999999999314</v>
      </c>
      <c r="C522" s="342"/>
      <c r="D522" s="359">
        <f t="shared" ca="1" si="240"/>
        <v>-2.591514176270612</v>
      </c>
      <c r="E522" s="360">
        <f t="shared" ca="1" si="241"/>
        <v>-19.083402804060356</v>
      </c>
      <c r="F522" s="357">
        <f t="shared" ca="1" si="242"/>
        <v>19.258561948074686</v>
      </c>
      <c r="G522" s="359">
        <f t="shared" ca="1" si="243"/>
        <v>54.22797979266366</v>
      </c>
      <c r="H522" s="360">
        <f t="shared" ca="1" si="244"/>
        <v>193.06690622889647</v>
      </c>
      <c r="I522" s="357">
        <f t="shared" ca="1" si="245"/>
        <v>200.53803647485691</v>
      </c>
      <c r="J522" s="359">
        <f t="shared" ca="1" si="246"/>
        <v>283.35597517849902</v>
      </c>
      <c r="K522" s="360">
        <f t="shared" ca="1" si="247"/>
        <v>1144.7473716385559</v>
      </c>
      <c r="L522" s="357">
        <f t="shared" ca="1" si="232"/>
        <v>1179.2951935553458</v>
      </c>
      <c r="M522" s="359">
        <f t="shared" ca="1" si="248"/>
        <v>1.2969749206616223</v>
      </c>
      <c r="N522" s="357">
        <f t="shared" ca="1" si="249"/>
        <v>74.311189088225746</v>
      </c>
      <c r="O522" s="343"/>
      <c r="P522" s="363">
        <f t="shared" ca="1" si="250"/>
        <v>23</v>
      </c>
      <c r="Q522" s="357">
        <f t="shared" ca="1" si="251"/>
        <v>0</v>
      </c>
      <c r="R522" s="359">
        <f t="shared" ca="1" si="252"/>
        <v>0</v>
      </c>
      <c r="S522" s="360">
        <f t="shared" ca="1" si="253"/>
        <v>10.637999999999975</v>
      </c>
      <c r="T522" s="357">
        <f t="shared" ca="1" si="233"/>
        <v>104.35877999999975</v>
      </c>
      <c r="U522" s="364">
        <f t="shared" ca="1" si="234"/>
        <v>0</v>
      </c>
      <c r="V522" s="359">
        <f t="shared" ca="1" si="235"/>
        <v>1.0923603892626159</v>
      </c>
      <c r="W522" s="357">
        <f t="shared" ca="1" si="236"/>
        <v>100.31355067785344</v>
      </c>
      <c r="X522" s="343"/>
      <c r="Y522" s="367" t="str">
        <f t="shared" ca="1" si="254"/>
        <v/>
      </c>
      <c r="Z522" s="368" t="str">
        <f t="shared" ca="1" si="255"/>
        <v/>
      </c>
      <c r="AA522" s="369" t="str">
        <f t="shared" ca="1" si="256"/>
        <v/>
      </c>
      <c r="AB522" s="344"/>
      <c r="AC522" s="363" t="e">
        <f t="shared" ca="1" si="257"/>
        <v>#N/A</v>
      </c>
      <c r="AD522" s="376" t="e">
        <f t="shared" ca="1" si="258"/>
        <v>#N/A</v>
      </c>
      <c r="AE522" s="377">
        <f t="shared" ca="1" si="237"/>
        <v>1144.7473716385559</v>
      </c>
      <c r="AF522" s="344"/>
      <c r="AG522" s="359">
        <f t="shared" ca="1" si="259"/>
        <v>-19.076712948113581</v>
      </c>
      <c r="AH522" s="357">
        <f t="shared" ca="1" si="260"/>
        <v>-9.6287042374436869</v>
      </c>
    </row>
    <row r="523" spans="1:34" x14ac:dyDescent="0.25">
      <c r="A523" s="402">
        <f t="shared" ca="1" si="238"/>
        <v>0.1</v>
      </c>
      <c r="B523" s="357">
        <f t="shared" ca="1" si="239"/>
        <v>6.8999999999999311</v>
      </c>
      <c r="C523" s="342"/>
      <c r="D523" s="359">
        <f t="shared" ca="1" si="240"/>
        <v>-2.5499184078035819</v>
      </c>
      <c r="E523" s="360">
        <f t="shared" ca="1" si="241"/>
        <v>-18.888428885107643</v>
      </c>
      <c r="F523" s="357">
        <f t="shared" ca="1" si="242"/>
        <v>19.059769926056934</v>
      </c>
      <c r="G523" s="359">
        <f t="shared" ca="1" si="243"/>
        <v>53.972987951883304</v>
      </c>
      <c r="H523" s="360">
        <f t="shared" ca="1" si="244"/>
        <v>191.17806334038571</v>
      </c>
      <c r="I523" s="357">
        <f t="shared" ca="1" si="245"/>
        <v>198.65078739092544</v>
      </c>
      <c r="J523" s="359">
        <f t="shared" ca="1" si="246"/>
        <v>288.76602356572636</v>
      </c>
      <c r="K523" s="360">
        <f t="shared" ca="1" si="247"/>
        <v>1163.95962011702</v>
      </c>
      <c r="L523" s="357">
        <f t="shared" ca="1" si="232"/>
        <v>1199.2446846365087</v>
      </c>
      <c r="M523" s="359">
        <f t="shared" ca="1" si="248"/>
        <v>1.2956395386772606</v>
      </c>
      <c r="N523" s="357">
        <f t="shared" ca="1" si="249"/>
        <v>74.234677336484012</v>
      </c>
      <c r="O523" s="343"/>
      <c r="P523" s="363">
        <f t="shared" ca="1" si="250"/>
        <v>23</v>
      </c>
      <c r="Q523" s="357">
        <f t="shared" ca="1" si="251"/>
        <v>0</v>
      </c>
      <c r="R523" s="359">
        <f t="shared" ca="1" si="252"/>
        <v>0</v>
      </c>
      <c r="S523" s="360">
        <f t="shared" ca="1" si="253"/>
        <v>10.637999999999975</v>
      </c>
      <c r="T523" s="357">
        <f t="shared" ca="1" si="233"/>
        <v>104.35877999999975</v>
      </c>
      <c r="U523" s="364">
        <f t="shared" ca="1" si="234"/>
        <v>0</v>
      </c>
      <c r="V523" s="359">
        <f t="shared" ca="1" si="235"/>
        <v>1.0902567326495904</v>
      </c>
      <c r="W523" s="357">
        <f t="shared" ca="1" si="236"/>
        <v>98.244783864239821</v>
      </c>
      <c r="X523" s="343"/>
      <c r="Y523" s="367" t="str">
        <f t="shared" ca="1" si="254"/>
        <v/>
      </c>
      <c r="Z523" s="368" t="str">
        <f t="shared" ca="1" si="255"/>
        <v/>
      </c>
      <c r="AA523" s="369" t="str">
        <f t="shared" ca="1" si="256"/>
        <v/>
      </c>
      <c r="AB523" s="344"/>
      <c r="AC523" s="363" t="e">
        <f t="shared" ca="1" si="257"/>
        <v>#N/A</v>
      </c>
      <c r="AD523" s="376" t="e">
        <f t="shared" ca="1" si="258"/>
        <v>#N/A</v>
      </c>
      <c r="AE523" s="377">
        <f t="shared" ca="1" si="237"/>
        <v>1163.95962011702</v>
      </c>
      <c r="AF523" s="344"/>
      <c r="AG523" s="359">
        <f t="shared" ca="1" si="259"/>
        <v>-18.874262054211982</v>
      </c>
      <c r="AH523" s="357">
        <f t="shared" ca="1" si="260"/>
        <v>-9.4297377963765445</v>
      </c>
    </row>
    <row r="524" spans="1:34" x14ac:dyDescent="0.25">
      <c r="A524" s="402">
        <f t="shared" ca="1" si="238"/>
        <v>0.1</v>
      </c>
      <c r="B524" s="357">
        <f t="shared" ca="1" si="239"/>
        <v>6.9999999999999307</v>
      </c>
      <c r="C524" s="342"/>
      <c r="D524" s="359">
        <f t="shared" ca="1" si="240"/>
        <v>-2.509202352813718</v>
      </c>
      <c r="E524" s="360">
        <f t="shared" ca="1" si="241"/>
        <v>-18.69786158675744</v>
      </c>
      <c r="F524" s="357">
        <f t="shared" ca="1" si="242"/>
        <v>18.865474400738123</v>
      </c>
      <c r="G524" s="359">
        <f t="shared" ca="1" si="243"/>
        <v>53.722067716601934</v>
      </c>
      <c r="H524" s="360">
        <f t="shared" ca="1" si="244"/>
        <v>189.30827718170997</v>
      </c>
      <c r="I524" s="357">
        <f t="shared" ca="1" si="245"/>
        <v>196.78334372922495</v>
      </c>
      <c r="J524" s="359">
        <f t="shared" ca="1" si="246"/>
        <v>294.15077634915065</v>
      </c>
      <c r="K524" s="360">
        <f t="shared" ca="1" si="247"/>
        <v>1182.9839371431249</v>
      </c>
      <c r="L524" s="357">
        <f t="shared" ca="1" si="232"/>
        <v>1219.0060191670329</v>
      </c>
      <c r="M524" s="359">
        <f t="shared" ca="1" si="248"/>
        <v>1.2942850762104707</v>
      </c>
      <c r="N524" s="357">
        <f t="shared" ca="1" si="249"/>
        <v>74.157072353628081</v>
      </c>
      <c r="O524" s="343"/>
      <c r="P524" s="363">
        <f t="shared" ca="1" si="250"/>
        <v>23</v>
      </c>
      <c r="Q524" s="357">
        <f t="shared" ca="1" si="251"/>
        <v>0</v>
      </c>
      <c r="R524" s="359">
        <f t="shared" ca="1" si="252"/>
        <v>0</v>
      </c>
      <c r="S524" s="360">
        <f t="shared" ca="1" si="253"/>
        <v>10.637999999999975</v>
      </c>
      <c r="T524" s="357">
        <f t="shared" ca="1" si="233"/>
        <v>104.35877999999975</v>
      </c>
      <c r="U524" s="364">
        <f t="shared" ca="1" si="234"/>
        <v>0</v>
      </c>
      <c r="V524" s="359">
        <f t="shared" ca="1" si="235"/>
        <v>1.0881774137864195</v>
      </c>
      <c r="W524" s="357">
        <f t="shared" ca="1" si="236"/>
        <v>96.222474614504591</v>
      </c>
      <c r="X524" s="343"/>
      <c r="Y524" s="367" t="str">
        <f t="shared" ca="1" si="254"/>
        <v/>
      </c>
      <c r="Z524" s="368" t="str">
        <f t="shared" ca="1" si="255"/>
        <v/>
      </c>
      <c r="AA524" s="369" t="str">
        <f t="shared" ca="1" si="256"/>
        <v/>
      </c>
      <c r="AB524" s="344"/>
      <c r="AC524" s="363">
        <f t="shared" ca="1" si="257"/>
        <v>6.9999999999999307</v>
      </c>
      <c r="AD524" s="376">
        <f t="shared" ca="1" si="258"/>
        <v>294.15077634915065</v>
      </c>
      <c r="AE524" s="377">
        <f t="shared" ca="1" si="237"/>
        <v>1182.9839371431249</v>
      </c>
      <c r="AF524" s="344"/>
      <c r="AG524" s="359">
        <f t="shared" ca="1" si="259"/>
        <v>-18.676241679420642</v>
      </c>
      <c r="AH524" s="357">
        <f t="shared" ca="1" si="260"/>
        <v>-9.2352682707501454</v>
      </c>
    </row>
    <row r="525" spans="1:34" x14ac:dyDescent="0.25">
      <c r="A525" s="402">
        <f t="shared" ca="1" si="238"/>
        <v>0.1</v>
      </c>
      <c r="B525" s="357">
        <f t="shared" ca="1" si="239"/>
        <v>7.0999999999999304</v>
      </c>
      <c r="C525" s="342"/>
      <c r="D525" s="359">
        <f t="shared" ca="1" si="240"/>
        <v>-2.469340161718006</v>
      </c>
      <c r="E525" s="360">
        <f t="shared" ca="1" si="241"/>
        <v>-18.511573704430923</v>
      </c>
      <c r="F525" s="357">
        <f t="shared" ca="1" si="242"/>
        <v>18.675545556926895</v>
      </c>
      <c r="G525" s="359">
        <f t="shared" ca="1" si="243"/>
        <v>53.475133700430135</v>
      </c>
      <c r="H525" s="360">
        <f t="shared" ca="1" si="244"/>
        <v>187.45711981126686</v>
      </c>
      <c r="I525" s="357">
        <f t="shared" ca="1" si="245"/>
        <v>194.9352756486484</v>
      </c>
      <c r="J525" s="359">
        <f t="shared" ca="1" si="246"/>
        <v>299.51063642000224</v>
      </c>
      <c r="K525" s="360">
        <f t="shared" ca="1" si="247"/>
        <v>1201.8222069927738</v>
      </c>
      <c r="L525" s="357">
        <f t="shared" ca="1" si="232"/>
        <v>1238.5811392677092</v>
      </c>
      <c r="M525" s="359">
        <f t="shared" ca="1" si="248"/>
        <v>1.2929112142731367</v>
      </c>
      <c r="N525" s="357">
        <f t="shared" ca="1" si="249"/>
        <v>74.078355862985177</v>
      </c>
      <c r="O525" s="343"/>
      <c r="P525" s="363">
        <f t="shared" ca="1" si="250"/>
        <v>23</v>
      </c>
      <c r="Q525" s="357">
        <f t="shared" ca="1" si="251"/>
        <v>0</v>
      </c>
      <c r="R525" s="359">
        <f t="shared" ca="1" si="252"/>
        <v>0</v>
      </c>
      <c r="S525" s="360">
        <f t="shared" ca="1" si="253"/>
        <v>10.637999999999975</v>
      </c>
      <c r="T525" s="357">
        <f t="shared" ca="1" si="233"/>
        <v>104.35877999999975</v>
      </c>
      <c r="U525" s="364">
        <f t="shared" ca="1" si="234"/>
        <v>0</v>
      </c>
      <c r="V525" s="359">
        <f t="shared" ca="1" si="235"/>
        <v>1.0861221064687001</v>
      </c>
      <c r="W525" s="357">
        <f t="shared" ca="1" si="236"/>
        <v>94.24529300081015</v>
      </c>
      <c r="X525" s="343"/>
      <c r="Y525" s="367" t="str">
        <f t="shared" ca="1" si="254"/>
        <v/>
      </c>
      <c r="Z525" s="368" t="str">
        <f t="shared" ca="1" si="255"/>
        <v/>
      </c>
      <c r="AA525" s="369" t="str">
        <f t="shared" ca="1" si="256"/>
        <v/>
      </c>
      <c r="AB525" s="344"/>
      <c r="AC525" s="363" t="e">
        <f t="shared" ca="1" si="257"/>
        <v>#N/A</v>
      </c>
      <c r="AD525" s="376" t="e">
        <f t="shared" ca="1" si="258"/>
        <v>#N/A</v>
      </c>
      <c r="AE525" s="377">
        <f t="shared" ca="1" si="237"/>
        <v>1201.8222069927738</v>
      </c>
      <c r="AF525" s="344"/>
      <c r="AG525" s="359">
        <f t="shared" ca="1" si="259"/>
        <v>-18.482520503848171</v>
      </c>
      <c r="AH525" s="357">
        <f t="shared" ca="1" si="260"/>
        <v>-9.0451658784080475</v>
      </c>
    </row>
    <row r="526" spans="1:34" x14ac:dyDescent="0.25">
      <c r="A526" s="402">
        <f t="shared" ca="1" si="238"/>
        <v>0.1</v>
      </c>
      <c r="B526" s="357">
        <f t="shared" ca="1" si="239"/>
        <v>7.19999999999993</v>
      </c>
      <c r="C526" s="342"/>
      <c r="D526" s="359">
        <f t="shared" ca="1" si="240"/>
        <v>-2.4303069314538233</v>
      </c>
      <c r="E526" s="360">
        <f t="shared" ca="1" si="241"/>
        <v>-18.32944270359117</v>
      </c>
      <c r="F526" s="357">
        <f t="shared" ca="1" si="242"/>
        <v>18.489858344652188</v>
      </c>
      <c r="G526" s="359">
        <f t="shared" ca="1" si="243"/>
        <v>53.232103007284749</v>
      </c>
      <c r="H526" s="360">
        <f t="shared" ca="1" si="244"/>
        <v>185.62417554090774</v>
      </c>
      <c r="I526" s="357">
        <f t="shared" ca="1" si="245"/>
        <v>193.10616597048349</v>
      </c>
      <c r="J526" s="359">
        <f t="shared" ca="1" si="246"/>
        <v>304.845998255388</v>
      </c>
      <c r="K526" s="360">
        <f t="shared" ca="1" si="247"/>
        <v>1220.4762717603826</v>
      </c>
      <c r="L526" s="357">
        <f t="shared" ca="1" si="232"/>
        <v>1257.971944274771</v>
      </c>
      <c r="M526" s="359">
        <f t="shared" ca="1" si="248"/>
        <v>1.2915176261086405</v>
      </c>
      <c r="N526" s="357">
        <f t="shared" ca="1" si="249"/>
        <v>73.998509142780165</v>
      </c>
      <c r="O526" s="343"/>
      <c r="P526" s="363">
        <f t="shared" ca="1" si="250"/>
        <v>23</v>
      </c>
      <c r="Q526" s="357">
        <f t="shared" ca="1" si="251"/>
        <v>0</v>
      </c>
      <c r="R526" s="359">
        <f t="shared" ca="1" si="252"/>
        <v>0</v>
      </c>
      <c r="S526" s="360">
        <f t="shared" ca="1" si="253"/>
        <v>10.637999999999975</v>
      </c>
      <c r="T526" s="357">
        <f t="shared" ca="1" si="233"/>
        <v>104.35877999999975</v>
      </c>
      <c r="U526" s="364">
        <f t="shared" ca="1" si="234"/>
        <v>0</v>
      </c>
      <c r="V526" s="359">
        <f t="shared" ca="1" si="235"/>
        <v>1.0840904922434675</v>
      </c>
      <c r="W526" s="357">
        <f t="shared" ca="1" si="236"/>
        <v>92.311957566394327</v>
      </c>
      <c r="X526" s="343"/>
      <c r="Y526" s="367" t="str">
        <f t="shared" ca="1" si="254"/>
        <v/>
      </c>
      <c r="Z526" s="368" t="str">
        <f t="shared" ca="1" si="255"/>
        <v/>
      </c>
      <c r="AA526" s="369" t="str">
        <f t="shared" ca="1" si="256"/>
        <v/>
      </c>
      <c r="AB526" s="344"/>
      <c r="AC526" s="363" t="e">
        <f t="shared" ca="1" si="257"/>
        <v>#N/A</v>
      </c>
      <c r="AD526" s="376" t="e">
        <f t="shared" ca="1" si="258"/>
        <v>#N/A</v>
      </c>
      <c r="AE526" s="377">
        <f t="shared" ca="1" si="237"/>
        <v>1220.4762717603826</v>
      </c>
      <c r="AF526" s="344"/>
      <c r="AG526" s="359">
        <f t="shared" ca="1" si="259"/>
        <v>-18.292971927157406</v>
      </c>
      <c r="AH526" s="357">
        <f t="shared" ca="1" si="260"/>
        <v>-8.8593056026330483</v>
      </c>
    </row>
    <row r="527" spans="1:34" x14ac:dyDescent="0.25">
      <c r="A527" s="402">
        <f t="shared" ca="1" si="238"/>
        <v>0.1</v>
      </c>
      <c r="B527" s="357">
        <f t="shared" ca="1" si="239"/>
        <v>7.2999999999999297</v>
      </c>
      <c r="C527" s="342"/>
      <c r="D527" s="359">
        <f t="shared" ca="1" si="240"/>
        <v>-2.3920786639639586</v>
      </c>
      <c r="E527" s="360">
        <f t="shared" ca="1" si="241"/>
        <v>-18.151350514867723</v>
      </c>
      <c r="F527" s="357">
        <f t="shared" ca="1" si="242"/>
        <v>18.308292270121218</v>
      </c>
      <c r="G527" s="359">
        <f t="shared" ca="1" si="243"/>
        <v>52.992895140888351</v>
      </c>
      <c r="H527" s="360">
        <f t="shared" ca="1" si="244"/>
        <v>183.80904048942097</v>
      </c>
      <c r="I527" s="357">
        <f t="shared" ca="1" si="245"/>
        <v>191.2956097276014</v>
      </c>
      <c r="J527" s="359">
        <f t="shared" ca="1" si="246"/>
        <v>310.15724816279663</v>
      </c>
      <c r="K527" s="360">
        <f t="shared" ca="1" si="247"/>
        <v>1238.9479325618991</v>
      </c>
      <c r="L527" s="357">
        <f t="shared" ca="1" si="232"/>
        <v>1277.180291966378</v>
      </c>
      <c r="M527" s="359">
        <f t="shared" ca="1" si="248"/>
        <v>1.2901039769738447</v>
      </c>
      <c r="N527" s="357">
        <f t="shared" ca="1" si="249"/>
        <v>73.91751301364404</v>
      </c>
      <c r="O527" s="343"/>
      <c r="P527" s="363">
        <f t="shared" ca="1" si="250"/>
        <v>23</v>
      </c>
      <c r="Q527" s="357">
        <f t="shared" ca="1" si="251"/>
        <v>0</v>
      </c>
      <c r="R527" s="359">
        <f t="shared" ca="1" si="252"/>
        <v>0</v>
      </c>
      <c r="S527" s="360">
        <f t="shared" ca="1" si="253"/>
        <v>10.637999999999975</v>
      </c>
      <c r="T527" s="357">
        <f t="shared" ca="1" si="233"/>
        <v>104.35877999999975</v>
      </c>
      <c r="U527" s="364">
        <f t="shared" ca="1" si="234"/>
        <v>0</v>
      </c>
      <c r="V527" s="359">
        <f t="shared" ca="1" si="235"/>
        <v>1.0820822601752802</v>
      </c>
      <c r="W527" s="357">
        <f t="shared" ca="1" si="236"/>
        <v>90.421233215596729</v>
      </c>
      <c r="X527" s="343"/>
      <c r="Y527" s="367" t="str">
        <f t="shared" ca="1" si="254"/>
        <v/>
      </c>
      <c r="Z527" s="368" t="str">
        <f t="shared" ca="1" si="255"/>
        <v/>
      </c>
      <c r="AA527" s="369" t="str">
        <f t="shared" ca="1" si="256"/>
        <v/>
      </c>
      <c r="AB527" s="344"/>
      <c r="AC527" s="363" t="e">
        <f t="shared" ca="1" si="257"/>
        <v>#N/A</v>
      </c>
      <c r="AD527" s="376" t="e">
        <f t="shared" ca="1" si="258"/>
        <v>#N/A</v>
      </c>
      <c r="AE527" s="377">
        <f t="shared" ca="1" si="237"/>
        <v>1238.9479325618991</v>
      </c>
      <c r="AF527" s="344"/>
      <c r="AG527" s="359">
        <f t="shared" ca="1" si="259"/>
        <v>-18.107473857942367</v>
      </c>
      <c r="AH527" s="357">
        <f t="shared" ca="1" si="260"/>
        <v>-8.6775669831166145</v>
      </c>
    </row>
    <row r="528" spans="1:34" x14ac:dyDescent="0.25">
      <c r="A528" s="402">
        <f t="shared" ca="1" si="238"/>
        <v>0.1</v>
      </c>
      <c r="B528" s="357">
        <f t="shared" ca="1" si="239"/>
        <v>7.3999999999999293</v>
      </c>
      <c r="C528" s="342"/>
      <c r="D528" s="359">
        <f t="shared" ca="1" si="240"/>
        <v>-2.3546322268063515</v>
      </c>
      <c r="E528" s="360">
        <f t="shared" ca="1" si="241"/>
        <v>-17.977183339654928</v>
      </c>
      <c r="F528" s="357">
        <f t="shared" ca="1" si="242"/>
        <v>18.130731197364376</v>
      </c>
      <c r="G528" s="359">
        <f t="shared" ca="1" si="243"/>
        <v>52.757431918207715</v>
      </c>
      <c r="H528" s="360">
        <f t="shared" ca="1" si="244"/>
        <v>182.01132215545547</v>
      </c>
      <c r="I528" s="357">
        <f t="shared" ca="1" si="245"/>
        <v>189.50321373364969</v>
      </c>
      <c r="J528" s="359">
        <f t="shared" ca="1" si="246"/>
        <v>315.44476451575144</v>
      </c>
      <c r="K528" s="360">
        <f t="shared" ca="1" si="247"/>
        <v>1257.2389506941429</v>
      </c>
      <c r="L528" s="357">
        <f t="shared" ca="1" si="232"/>
        <v>1296.2079997449898</v>
      </c>
      <c r="M528" s="359">
        <f t="shared" ca="1" si="248"/>
        <v>1.2886699239136379</v>
      </c>
      <c r="N528" s="357">
        <f t="shared" ca="1" si="249"/>
        <v>73.835347825696374</v>
      </c>
      <c r="O528" s="343"/>
      <c r="P528" s="363">
        <f t="shared" ca="1" si="250"/>
        <v>23</v>
      </c>
      <c r="Q528" s="357">
        <f t="shared" ca="1" si="251"/>
        <v>0</v>
      </c>
      <c r="R528" s="359">
        <f t="shared" ca="1" si="252"/>
        <v>0</v>
      </c>
      <c r="S528" s="360">
        <f t="shared" ca="1" si="253"/>
        <v>10.637999999999975</v>
      </c>
      <c r="T528" s="357">
        <f t="shared" ca="1" si="233"/>
        <v>104.35877999999975</v>
      </c>
      <c r="U528" s="364">
        <f t="shared" ca="1" si="234"/>
        <v>0</v>
      </c>
      <c r="V528" s="359">
        <f t="shared" ca="1" si="235"/>
        <v>1.0800971066211744</v>
      </c>
      <c r="W528" s="357">
        <f t="shared" ca="1" si="236"/>
        <v>88.571929210963276</v>
      </c>
      <c r="X528" s="343"/>
      <c r="Y528" s="367" t="str">
        <f t="shared" ca="1" si="254"/>
        <v/>
      </c>
      <c r="Z528" s="368" t="str">
        <f t="shared" ca="1" si="255"/>
        <v/>
      </c>
      <c r="AA528" s="369" t="str">
        <f t="shared" ca="1" si="256"/>
        <v/>
      </c>
      <c r="AB528" s="344"/>
      <c r="AC528" s="363" t="e">
        <f t="shared" ca="1" si="257"/>
        <v>#N/A</v>
      </c>
      <c r="AD528" s="376" t="e">
        <f t="shared" ca="1" si="258"/>
        <v>#N/A</v>
      </c>
      <c r="AE528" s="377">
        <f t="shared" ca="1" si="237"/>
        <v>1257.2389506941429</v>
      </c>
      <c r="AF528" s="344"/>
      <c r="AG528" s="359">
        <f t="shared" ca="1" si="259"/>
        <v>-17.925908513728437</v>
      </c>
      <c r="AH528" s="357">
        <f t="shared" ca="1" si="260"/>
        <v>-8.4998339176158062</v>
      </c>
    </row>
    <row r="529" spans="1:34" x14ac:dyDescent="0.25">
      <c r="A529" s="402">
        <f t="shared" ca="1" si="238"/>
        <v>0.1</v>
      </c>
      <c r="B529" s="357">
        <f t="shared" ca="1" si="239"/>
        <v>7.4999999999999289</v>
      </c>
      <c r="C529" s="342"/>
      <c r="D529" s="359">
        <f t="shared" ca="1" si="240"/>
        <v>-2.3179453157649963</v>
      </c>
      <c r="E529" s="360">
        <f t="shared" ca="1" si="241"/>
        <v>-17.806831465574575</v>
      </c>
      <c r="F529" s="357">
        <f t="shared" ca="1" si="242"/>
        <v>17.957063159944994</v>
      </c>
      <c r="G529" s="359">
        <f t="shared" ca="1" si="243"/>
        <v>52.525637386631217</v>
      </c>
      <c r="H529" s="360">
        <f t="shared" ca="1" si="244"/>
        <v>180.23063900889801</v>
      </c>
      <c r="I529" s="357">
        <f t="shared" ca="1" si="245"/>
        <v>187.7285961712482</v>
      </c>
      <c r="J529" s="359">
        <f t="shared" ca="1" si="246"/>
        <v>320.70891798099342</v>
      </c>
      <c r="K529" s="360">
        <f t="shared" ca="1" si="247"/>
        <v>1275.3510487523606</v>
      </c>
      <c r="L529" s="357">
        <f t="shared" ca="1" si="232"/>
        <v>1315.0568457775069</v>
      </c>
      <c r="M529" s="359">
        <f t="shared" ca="1" si="248"/>
        <v>1.2872151155277591</v>
      </c>
      <c r="N529" s="357">
        <f t="shared" ca="1" si="249"/>
        <v>73.751993445185278</v>
      </c>
      <c r="O529" s="343"/>
      <c r="P529" s="363">
        <f t="shared" ca="1" si="250"/>
        <v>23</v>
      </c>
      <c r="Q529" s="357">
        <f t="shared" ca="1" si="251"/>
        <v>0</v>
      </c>
      <c r="R529" s="359">
        <f t="shared" ca="1" si="252"/>
        <v>0</v>
      </c>
      <c r="S529" s="360">
        <f t="shared" ca="1" si="253"/>
        <v>10.637999999999975</v>
      </c>
      <c r="T529" s="357">
        <f t="shared" ca="1" si="233"/>
        <v>104.35877999999975</v>
      </c>
      <c r="U529" s="364">
        <f t="shared" ca="1" si="234"/>
        <v>0</v>
      </c>
      <c r="V529" s="359">
        <f t="shared" ca="1" si="235"/>
        <v>1.0781347350140897</v>
      </c>
      <c r="W529" s="357">
        <f t="shared" ca="1" si="236"/>
        <v>86.762897271240504</v>
      </c>
      <c r="X529" s="343"/>
      <c r="Y529" s="367" t="str">
        <f t="shared" ca="1" si="254"/>
        <v/>
      </c>
      <c r="Z529" s="368" t="str">
        <f t="shared" ca="1" si="255"/>
        <v/>
      </c>
      <c r="AA529" s="369" t="str">
        <f t="shared" ca="1" si="256"/>
        <v/>
      </c>
      <c r="AB529" s="344"/>
      <c r="AC529" s="363" t="e">
        <f t="shared" ca="1" si="257"/>
        <v>#N/A</v>
      </c>
      <c r="AD529" s="376" t="e">
        <f t="shared" ca="1" si="258"/>
        <v>#N/A</v>
      </c>
      <c r="AE529" s="377">
        <f t="shared" ca="1" si="237"/>
        <v>1275.3510487523606</v>
      </c>
      <c r="AF529" s="344"/>
      <c r="AG529" s="359">
        <f t="shared" ca="1" si="259"/>
        <v>-17.748162230971047</v>
      </c>
      <c r="AH529" s="357">
        <f t="shared" ca="1" si="260"/>
        <v>-8.3259944736758307</v>
      </c>
    </row>
    <row r="530" spans="1:34" x14ac:dyDescent="0.25">
      <c r="A530" s="402">
        <f t="shared" ca="1" si="238"/>
        <v>0.1</v>
      </c>
      <c r="B530" s="357">
        <f t="shared" ca="1" si="239"/>
        <v>7.5999999999999286</v>
      </c>
      <c r="C530" s="342"/>
      <c r="D530" s="359">
        <f t="shared" ca="1" si="240"/>
        <v>-2.2819964193465112</v>
      </c>
      <c r="E530" s="360">
        <f t="shared" ca="1" si="241"/>
        <v>-17.640189091232603</v>
      </c>
      <c r="F530" s="357">
        <f t="shared" ca="1" si="242"/>
        <v>17.787180182152316</v>
      </c>
      <c r="G530" s="359">
        <f t="shared" ca="1" si="243"/>
        <v>52.297437744696566</v>
      </c>
      <c r="H530" s="360">
        <f t="shared" ca="1" si="244"/>
        <v>178.46662009977476</v>
      </c>
      <c r="I530" s="357">
        <f t="shared" ca="1" si="245"/>
        <v>185.97138619824756</v>
      </c>
      <c r="J530" s="359">
        <f t="shared" ca="1" si="246"/>
        <v>325.95007173755982</v>
      </c>
      <c r="K530" s="360">
        <f t="shared" ca="1" si="247"/>
        <v>1293.2859117077942</v>
      </c>
      <c r="L530" s="357">
        <f t="shared" ca="1" si="232"/>
        <v>1333.7285700949728</v>
      </c>
      <c r="M530" s="359">
        <f t="shared" ca="1" si="248"/>
        <v>1.2857391917296166</v>
      </c>
      <c r="N530" s="357">
        <f t="shared" ca="1" si="249"/>
        <v>73.667429240668795</v>
      </c>
      <c r="O530" s="343"/>
      <c r="P530" s="363">
        <f t="shared" ca="1" si="250"/>
        <v>23</v>
      </c>
      <c r="Q530" s="357">
        <f t="shared" ca="1" si="251"/>
        <v>0</v>
      </c>
      <c r="R530" s="359">
        <f t="shared" ca="1" si="252"/>
        <v>0</v>
      </c>
      <c r="S530" s="360">
        <f t="shared" ca="1" si="253"/>
        <v>10.637999999999975</v>
      </c>
      <c r="T530" s="357">
        <f t="shared" ca="1" si="233"/>
        <v>104.35877999999975</v>
      </c>
      <c r="U530" s="364">
        <f t="shared" ca="1" si="234"/>
        <v>0</v>
      </c>
      <c r="V530" s="359">
        <f t="shared" ca="1" si="235"/>
        <v>1.0761948556543868</v>
      </c>
      <c r="W530" s="357">
        <f t="shared" ca="1" si="236"/>
        <v>84.993029764474727</v>
      </c>
      <c r="X530" s="343"/>
      <c r="Y530" s="367" t="str">
        <f t="shared" ca="1" si="254"/>
        <v/>
      </c>
      <c r="Z530" s="368" t="str">
        <f t="shared" ca="1" si="255"/>
        <v/>
      </c>
      <c r="AA530" s="369" t="str">
        <f t="shared" ca="1" si="256"/>
        <v/>
      </c>
      <c r="AB530" s="344"/>
      <c r="AC530" s="363" t="e">
        <f t="shared" ca="1" si="257"/>
        <v>#N/A</v>
      </c>
      <c r="AD530" s="376" t="e">
        <f t="shared" ca="1" si="258"/>
        <v>#N/A</v>
      </c>
      <c r="AE530" s="377">
        <f t="shared" ca="1" si="237"/>
        <v>1293.2859117077942</v>
      </c>
      <c r="AF530" s="344"/>
      <c r="AG530" s="359">
        <f t="shared" ca="1" si="259"/>
        <v>-17.574125284468074</v>
      </c>
      <c r="AH530" s="357">
        <f t="shared" ca="1" si="260"/>
        <v>-8.1559407098365018</v>
      </c>
    </row>
    <row r="531" spans="1:34" x14ac:dyDescent="0.25">
      <c r="A531" s="402">
        <f t="shared" ca="1" si="238"/>
        <v>0.1</v>
      </c>
      <c r="B531" s="357">
        <f t="shared" ca="1" si="239"/>
        <v>7.6999999999999282</v>
      </c>
      <c r="C531" s="342"/>
      <c r="D531" s="359">
        <f t="shared" ca="1" si="240"/>
        <v>-2.2467647850542969</v>
      </c>
      <c r="E531" s="360">
        <f t="shared" ca="1" si="241"/>
        <v>-17.477154159737008</v>
      </c>
      <c r="F531" s="357">
        <f t="shared" ca="1" si="242"/>
        <v>17.620978109133802</v>
      </c>
      <c r="G531" s="359">
        <f t="shared" ca="1" si="243"/>
        <v>52.072761266191137</v>
      </c>
      <c r="H531" s="360">
        <f t="shared" ca="1" si="244"/>
        <v>176.71890468380107</v>
      </c>
      <c r="I531" s="357">
        <f t="shared" ca="1" si="245"/>
        <v>184.2312235711637</v>
      </c>
      <c r="J531" s="359">
        <f t="shared" ca="1" si="246"/>
        <v>331.16858168810421</v>
      </c>
      <c r="K531" s="360">
        <f t="shared" ca="1" si="247"/>
        <v>1311.0451879469729</v>
      </c>
      <c r="L531" s="357">
        <f t="shared" ca="1" si="232"/>
        <v>1352.2248756535371</v>
      </c>
      <c r="M531" s="359">
        <f t="shared" ca="1" si="248"/>
        <v>1.2842417834967901</v>
      </c>
      <c r="N531" s="357">
        <f t="shared" ca="1" si="249"/>
        <v>73.581634068719694</v>
      </c>
      <c r="O531" s="343"/>
      <c r="P531" s="363">
        <f t="shared" ca="1" si="250"/>
        <v>23</v>
      </c>
      <c r="Q531" s="357">
        <f t="shared" ca="1" si="251"/>
        <v>0</v>
      </c>
      <c r="R531" s="359">
        <f t="shared" ca="1" si="252"/>
        <v>0</v>
      </c>
      <c r="S531" s="360">
        <f t="shared" ca="1" si="253"/>
        <v>10.637999999999975</v>
      </c>
      <c r="T531" s="357">
        <f t="shared" ca="1" si="233"/>
        <v>104.35877999999975</v>
      </c>
      <c r="U531" s="364">
        <f t="shared" ca="1" si="234"/>
        <v>0</v>
      </c>
      <c r="V531" s="359">
        <f t="shared" ca="1" si="235"/>
        <v>1.0742771855091016</v>
      </c>
      <c r="W531" s="357">
        <f t="shared" ca="1" si="236"/>
        <v>83.261257990801838</v>
      </c>
      <c r="X531" s="343"/>
      <c r="Y531" s="367" t="str">
        <f t="shared" ca="1" si="254"/>
        <v/>
      </c>
      <c r="Z531" s="368" t="str">
        <f t="shared" ca="1" si="255"/>
        <v/>
      </c>
      <c r="AA531" s="369" t="str">
        <f t="shared" ca="1" si="256"/>
        <v/>
      </c>
      <c r="AB531" s="344"/>
      <c r="AC531" s="363" t="e">
        <f t="shared" ca="1" si="257"/>
        <v>#N/A</v>
      </c>
      <c r="AD531" s="376" t="e">
        <f t="shared" ca="1" si="258"/>
        <v>#N/A</v>
      </c>
      <c r="AE531" s="377">
        <f t="shared" ca="1" si="237"/>
        <v>1311.0451879469729</v>
      </c>
      <c r="AF531" s="344"/>
      <c r="AG531" s="359">
        <f t="shared" ca="1" si="259"/>
        <v>-17.403691715638967</v>
      </c>
      <c r="AH531" s="357">
        <f t="shared" ca="1" si="260"/>
        <v>-7.9895685057788048</v>
      </c>
    </row>
    <row r="532" spans="1:34" x14ac:dyDescent="0.25">
      <c r="A532" s="402">
        <f t="shared" ca="1" si="238"/>
        <v>0.1</v>
      </c>
      <c r="B532" s="357">
        <f t="shared" ca="1" si="239"/>
        <v>7.7999999999999279</v>
      </c>
      <c r="C532" s="342"/>
      <c r="D532" s="359">
        <f t="shared" ca="1" si="240"/>
        <v>-2.2122303873392628</v>
      </c>
      <c r="E532" s="360">
        <f t="shared" ca="1" si="241"/>
        <v>-17.317628200478012</v>
      </c>
      <c r="F532" s="357">
        <f t="shared" ca="1" si="242"/>
        <v>17.458356445457817</v>
      </c>
      <c r="G532" s="359">
        <f t="shared" ca="1" si="243"/>
        <v>51.851538227457212</v>
      </c>
      <c r="H532" s="360">
        <f t="shared" ca="1" si="244"/>
        <v>174.98714186375327</v>
      </c>
      <c r="I532" s="357">
        <f t="shared" ca="1" si="245"/>
        <v>182.50775828495284</v>
      </c>
      <c r="J532" s="359">
        <f t="shared" ca="1" si="246"/>
        <v>336.3647966627866</v>
      </c>
      <c r="K532" s="360">
        <f t="shared" ca="1" si="247"/>
        <v>1328.6304902743507</v>
      </c>
      <c r="L532" s="357">
        <f t="shared" ca="1" si="232"/>
        <v>1370.5474293583054</v>
      </c>
      <c r="M532" s="359">
        <f t="shared" ca="1" si="248"/>
        <v>1.2827225126129045</v>
      </c>
      <c r="N532" s="357">
        <f t="shared" ca="1" si="249"/>
        <v>73.494586259135929</v>
      </c>
      <c r="O532" s="343"/>
      <c r="P532" s="363">
        <f t="shared" ca="1" si="250"/>
        <v>23</v>
      </c>
      <c r="Q532" s="357">
        <f t="shared" ca="1" si="251"/>
        <v>0</v>
      </c>
      <c r="R532" s="359">
        <f t="shared" ca="1" si="252"/>
        <v>0</v>
      </c>
      <c r="S532" s="360">
        <f t="shared" ca="1" si="253"/>
        <v>10.637999999999975</v>
      </c>
      <c r="T532" s="357">
        <f t="shared" ca="1" si="233"/>
        <v>104.35877999999975</v>
      </c>
      <c r="U532" s="364">
        <f t="shared" ca="1" si="234"/>
        <v>0</v>
      </c>
      <c r="V532" s="359">
        <f t="shared" ca="1" si="235"/>
        <v>1.0723814480185931</v>
      </c>
      <c r="W532" s="357">
        <f t="shared" ca="1" si="236"/>
        <v>81.56655054985896</v>
      </c>
      <c r="X532" s="343"/>
      <c r="Y532" s="367" t="str">
        <f t="shared" ca="1" si="254"/>
        <v/>
      </c>
      <c r="Z532" s="368" t="str">
        <f t="shared" ca="1" si="255"/>
        <v/>
      </c>
      <c r="AA532" s="369" t="str">
        <f t="shared" ca="1" si="256"/>
        <v/>
      </c>
      <c r="AB532" s="344"/>
      <c r="AC532" s="363" t="e">
        <f t="shared" ca="1" si="257"/>
        <v>#N/A</v>
      </c>
      <c r="AD532" s="376" t="e">
        <f t="shared" ca="1" si="258"/>
        <v>#N/A</v>
      </c>
      <c r="AE532" s="377">
        <f t="shared" ca="1" si="237"/>
        <v>1328.6304902743507</v>
      </c>
      <c r="AF532" s="344"/>
      <c r="AG532" s="359">
        <f t="shared" ca="1" si="259"/>
        <v>-17.236759169158308</v>
      </c>
      <c r="AH532" s="357">
        <f t="shared" ca="1" si="260"/>
        <v>-7.8267774009026168</v>
      </c>
    </row>
    <row r="533" spans="1:34" x14ac:dyDescent="0.25">
      <c r="A533" s="402">
        <f t="shared" ca="1" si="238"/>
        <v>0.1</v>
      </c>
      <c r="B533" s="357">
        <f t="shared" ca="1" si="239"/>
        <v>7.8999999999999275</v>
      </c>
      <c r="C533" s="342"/>
      <c r="D533" s="359">
        <f t="shared" ca="1" si="240"/>
        <v>-2.1783738971324729</v>
      </c>
      <c r="E533" s="360">
        <f t="shared" ca="1" si="241"/>
        <v>-17.161516178703547</v>
      </c>
      <c r="F533" s="357">
        <f t="shared" ca="1" si="242"/>
        <v>17.299218201630143</v>
      </c>
      <c r="G533" s="359">
        <f t="shared" ca="1" si="243"/>
        <v>51.633700837743966</v>
      </c>
      <c r="H533" s="360">
        <f t="shared" ca="1" si="244"/>
        <v>173.2709902458829</v>
      </c>
      <c r="I533" s="357">
        <f t="shared" ca="1" si="245"/>
        <v>180.80065022833986</v>
      </c>
      <c r="J533" s="359">
        <f t="shared" ca="1" si="246"/>
        <v>341.53905861604665</v>
      </c>
      <c r="K533" s="360">
        <f t="shared" ca="1" si="247"/>
        <v>1346.0433968798325</v>
      </c>
      <c r="L533" s="357">
        <f t="shared" ca="1" si="232"/>
        <v>1388.6978630516192</v>
      </c>
      <c r="M533" s="359">
        <f t="shared" ca="1" si="248"/>
        <v>1.2811809914005425</v>
      </c>
      <c r="N533" s="357">
        <f t="shared" ca="1" si="249"/>
        <v>73.406263599637711</v>
      </c>
      <c r="O533" s="343"/>
      <c r="P533" s="363">
        <f t="shared" ca="1" si="250"/>
        <v>23</v>
      </c>
      <c r="Q533" s="357">
        <f t="shared" ca="1" si="251"/>
        <v>0</v>
      </c>
      <c r="R533" s="359">
        <f t="shared" ca="1" si="252"/>
        <v>0</v>
      </c>
      <c r="S533" s="360">
        <f t="shared" ca="1" si="253"/>
        <v>10.637999999999975</v>
      </c>
      <c r="T533" s="357">
        <f t="shared" ca="1" si="233"/>
        <v>104.35877999999975</v>
      </c>
      <c r="U533" s="364">
        <f t="shared" ca="1" si="234"/>
        <v>0</v>
      </c>
      <c r="V533" s="359">
        <f t="shared" ca="1" si="235"/>
        <v>1.0705073729102588</v>
      </c>
      <c r="W533" s="357">
        <f t="shared" ca="1" si="236"/>
        <v>79.90791178806947</v>
      </c>
      <c r="X533" s="343"/>
      <c r="Y533" s="367" t="str">
        <f t="shared" ca="1" si="254"/>
        <v/>
      </c>
      <c r="Z533" s="368" t="str">
        <f t="shared" ca="1" si="255"/>
        <v/>
      </c>
      <c r="AA533" s="369" t="str">
        <f t="shared" ca="1" si="256"/>
        <v/>
      </c>
      <c r="AB533" s="344"/>
      <c r="AC533" s="363" t="e">
        <f t="shared" ca="1" si="257"/>
        <v>#N/A</v>
      </c>
      <c r="AD533" s="376" t="e">
        <f t="shared" ca="1" si="258"/>
        <v>#N/A</v>
      </c>
      <c r="AE533" s="377">
        <f t="shared" ca="1" si="237"/>
        <v>1346.0433968798325</v>
      </c>
      <c r="AF533" s="344"/>
      <c r="AG533" s="359">
        <f t="shared" ca="1" si="259"/>
        <v>-17.073228737463801</v>
      </c>
      <c r="AH533" s="357">
        <f t="shared" ca="1" si="260"/>
        <v>-7.6674704408591046</v>
      </c>
    </row>
    <row r="534" spans="1:34" x14ac:dyDescent="0.25">
      <c r="A534" s="402">
        <f t="shared" ca="1" si="238"/>
        <v>0.1</v>
      </c>
      <c r="B534" s="357">
        <f t="shared" ca="1" si="239"/>
        <v>7.9999999999999272</v>
      </c>
      <c r="C534" s="342"/>
      <c r="D534" s="359">
        <f t="shared" ca="1" si="240"/>
        <v>-2.1451766528710619</v>
      </c>
      <c r="E534" s="360">
        <f t="shared" ca="1" si="241"/>
        <v>-17.008726352452523</v>
      </c>
      <c r="F534" s="357">
        <f t="shared" ca="1" si="242"/>
        <v>17.143469748117969</v>
      </c>
      <c r="G534" s="359">
        <f t="shared" ca="1" si="243"/>
        <v>51.419183172456862</v>
      </c>
      <c r="H534" s="360">
        <f t="shared" ca="1" si="244"/>
        <v>171.57011761063765</v>
      </c>
      <c r="I534" s="357">
        <f t="shared" ca="1" si="245"/>
        <v>179.10956885395797</v>
      </c>
      <c r="J534" s="359">
        <f t="shared" ca="1" si="246"/>
        <v>346.6917028165567</v>
      </c>
      <c r="K534" s="360">
        <f t="shared" ca="1" si="247"/>
        <v>1363.2854522726584</v>
      </c>
      <c r="L534" s="357">
        <f t="shared" ca="1" si="232"/>
        <v>1406.6777744672411</v>
      </c>
      <c r="M534" s="359">
        <f t="shared" ca="1" si="248"/>
        <v>1.2796168224448539</v>
      </c>
      <c r="N534" s="357">
        <f t="shared" ca="1" si="249"/>
        <v>73.316643320031361</v>
      </c>
      <c r="O534" s="343"/>
      <c r="P534" s="363">
        <f t="shared" ca="1" si="250"/>
        <v>23</v>
      </c>
      <c r="Q534" s="357">
        <f t="shared" ca="1" si="251"/>
        <v>0</v>
      </c>
      <c r="R534" s="359">
        <f t="shared" ca="1" si="252"/>
        <v>0</v>
      </c>
      <c r="S534" s="360">
        <f t="shared" ca="1" si="253"/>
        <v>10.637999999999975</v>
      </c>
      <c r="T534" s="357">
        <f t="shared" ca="1" si="233"/>
        <v>104.35877999999975</v>
      </c>
      <c r="U534" s="364">
        <f t="shared" ca="1" si="234"/>
        <v>0</v>
      </c>
      <c r="V534" s="359">
        <f t="shared" ca="1" si="235"/>
        <v>1.0686546960190202</v>
      </c>
      <c r="W534" s="357">
        <f t="shared" ca="1" si="236"/>
        <v>78.284380321353552</v>
      </c>
      <c r="X534" s="343"/>
      <c r="Y534" s="367" t="str">
        <f t="shared" ca="1" si="254"/>
        <v/>
      </c>
      <c r="Z534" s="368" t="str">
        <f t="shared" ca="1" si="255"/>
        <v/>
      </c>
      <c r="AA534" s="369" t="str">
        <f t="shared" ca="1" si="256"/>
        <v/>
      </c>
      <c r="AB534" s="344"/>
      <c r="AC534" s="363">
        <f t="shared" ca="1" si="257"/>
        <v>7.9999999999999272</v>
      </c>
      <c r="AD534" s="376">
        <f t="shared" ca="1" si="258"/>
        <v>346.6917028165567</v>
      </c>
      <c r="AE534" s="377">
        <f t="shared" ca="1" si="237"/>
        <v>1363.2854522726584</v>
      </c>
      <c r="AF534" s="344"/>
      <c r="AG534" s="359">
        <f t="shared" ca="1" si="259"/>
        <v>-16.913004812688655</v>
      </c>
      <c r="AH534" s="357">
        <f t="shared" ca="1" si="260"/>
        <v>-7.511554031591432</v>
      </c>
    </row>
    <row r="535" spans="1:34" x14ac:dyDescent="0.25">
      <c r="A535" s="402">
        <f t="shared" ca="1" si="238"/>
        <v>0.1</v>
      </c>
      <c r="B535" s="357">
        <f t="shared" ca="1" si="239"/>
        <v>8.0999999999999268</v>
      </c>
      <c r="C535" s="342"/>
      <c r="D535" s="359">
        <f t="shared" ca="1" si="240"/>
        <v>-2.1126206329344268</v>
      </c>
      <c r="E535" s="360">
        <f t="shared" ca="1" si="241"/>
        <v>-16.859170136436074</v>
      </c>
      <c r="F535" s="357">
        <f t="shared" ca="1" si="242"/>
        <v>16.991020676463148</v>
      </c>
      <c r="G535" s="359">
        <f t="shared" ca="1" si="243"/>
        <v>51.207921109163422</v>
      </c>
      <c r="H535" s="360">
        <f t="shared" ca="1" si="244"/>
        <v>169.88420059699405</v>
      </c>
      <c r="I535" s="357">
        <f t="shared" ca="1" si="245"/>
        <v>177.4341928625991</v>
      </c>
      <c r="J535" s="359">
        <f t="shared" ca="1" si="246"/>
        <v>351.8230580306377</v>
      </c>
      <c r="K535" s="360">
        <f t="shared" ca="1" si="247"/>
        <v>1380.3581681830399</v>
      </c>
      <c r="L535" s="357">
        <f t="shared" ca="1" si="232"/>
        <v>1424.488728151847</v>
      </c>
      <c r="M535" s="359">
        <f t="shared" ca="1" si="248"/>
        <v>1.278029598307501</v>
      </c>
      <c r="N535" s="357">
        <f t="shared" ca="1" si="249"/>
        <v>73.22570207581974</v>
      </c>
      <c r="O535" s="343"/>
      <c r="P535" s="363">
        <f t="shared" ca="1" si="250"/>
        <v>23</v>
      </c>
      <c r="Q535" s="357">
        <f t="shared" ca="1" si="251"/>
        <v>0</v>
      </c>
      <c r="R535" s="359">
        <f t="shared" ca="1" si="252"/>
        <v>0</v>
      </c>
      <c r="S535" s="360">
        <f t="shared" ca="1" si="253"/>
        <v>10.637999999999975</v>
      </c>
      <c r="T535" s="357">
        <f t="shared" ca="1" si="233"/>
        <v>104.35877999999975</v>
      </c>
      <c r="U535" s="364">
        <f t="shared" ca="1" si="234"/>
        <v>0</v>
      </c>
      <c r="V535" s="359">
        <f t="shared" ca="1" si="235"/>
        <v>1.0668231591142776</v>
      </c>
      <c r="W535" s="357">
        <f t="shared" ca="1" si="236"/>
        <v>76.695027629091058</v>
      </c>
      <c r="X535" s="343"/>
      <c r="Y535" s="367" t="str">
        <f t="shared" ca="1" si="254"/>
        <v/>
      </c>
      <c r="Z535" s="368" t="str">
        <f t="shared" ca="1" si="255"/>
        <v/>
      </c>
      <c r="AA535" s="369" t="str">
        <f t="shared" ca="1" si="256"/>
        <v/>
      </c>
      <c r="AB535" s="344"/>
      <c r="AC535" s="363" t="e">
        <f t="shared" ca="1" si="257"/>
        <v>#N/A</v>
      </c>
      <c r="AD535" s="376" t="e">
        <f t="shared" ca="1" si="258"/>
        <v>#N/A</v>
      </c>
      <c r="AE535" s="377">
        <f t="shared" ca="1" si="237"/>
        <v>1380.3581681830399</v>
      </c>
      <c r="AF535" s="344"/>
      <c r="AG535" s="359">
        <f t="shared" ca="1" si="259"/>
        <v>-16.755994945596314</v>
      </c>
      <c r="AH535" s="357">
        <f t="shared" ca="1" si="260"/>
        <v>-7.3589378004656645</v>
      </c>
    </row>
    <row r="536" spans="1:34" x14ac:dyDescent="0.25">
      <c r="A536" s="402">
        <f t="shared" ca="1" si="238"/>
        <v>0.1</v>
      </c>
      <c r="B536" s="357">
        <f t="shared" ca="1" si="239"/>
        <v>8.1999999999999265</v>
      </c>
      <c r="C536" s="342"/>
      <c r="D536" s="359">
        <f t="shared" ca="1" si="240"/>
        <v>-2.080688429412779</v>
      </c>
      <c r="E536" s="360">
        <f t="shared" ca="1" si="241"/>
        <v>-16.712761972482266</v>
      </c>
      <c r="F536" s="357">
        <f t="shared" ca="1" si="242"/>
        <v>16.841783667092436</v>
      </c>
      <c r="G536" s="359">
        <f t="shared" ca="1" si="243"/>
        <v>50.999852266222142</v>
      </c>
      <c r="H536" s="360">
        <f t="shared" ca="1" si="244"/>
        <v>168.21292439974582</v>
      </c>
      <c r="I536" s="357">
        <f t="shared" ca="1" si="245"/>
        <v>175.77420990091545</v>
      </c>
      <c r="J536" s="359">
        <f t="shared" ca="1" si="246"/>
        <v>356.933446699407</v>
      </c>
      <c r="K536" s="360">
        <f t="shared" ca="1" si="247"/>
        <v>1397.2630244328768</v>
      </c>
      <c r="L536" s="357">
        <f t="shared" ca="1" si="232"/>
        <v>1442.1322563551612</v>
      </c>
      <c r="M536" s="359">
        <f t="shared" ca="1" si="248"/>
        <v>1.2764189012305673</v>
      </c>
      <c r="N536" s="357">
        <f t="shared" ca="1" si="249"/>
        <v>73.133415931237394</v>
      </c>
      <c r="O536" s="343"/>
      <c r="P536" s="363">
        <f t="shared" ca="1" si="250"/>
        <v>23</v>
      </c>
      <c r="Q536" s="357">
        <f t="shared" ca="1" si="251"/>
        <v>0</v>
      </c>
      <c r="R536" s="359">
        <f t="shared" ca="1" si="252"/>
        <v>0</v>
      </c>
      <c r="S536" s="360">
        <f t="shared" ca="1" si="253"/>
        <v>10.637999999999975</v>
      </c>
      <c r="T536" s="357">
        <f t="shared" ca="1" si="233"/>
        <v>104.35877999999975</v>
      </c>
      <c r="U536" s="364">
        <f t="shared" ca="1" si="234"/>
        <v>0</v>
      </c>
      <c r="V536" s="359">
        <f t="shared" ca="1" si="235"/>
        <v>1.0650125097330629</v>
      </c>
      <c r="W536" s="357">
        <f t="shared" ca="1" si="236"/>
        <v>75.13895671542528</v>
      </c>
      <c r="X536" s="343"/>
      <c r="Y536" s="367" t="str">
        <f t="shared" ca="1" si="254"/>
        <v/>
      </c>
      <c r="Z536" s="368" t="str">
        <f t="shared" ca="1" si="255"/>
        <v/>
      </c>
      <c r="AA536" s="369" t="str">
        <f t="shared" ca="1" si="256"/>
        <v/>
      </c>
      <c r="AB536" s="344"/>
      <c r="AC536" s="363" t="e">
        <f t="shared" ca="1" si="257"/>
        <v>#N/A</v>
      </c>
      <c r="AD536" s="376" t="e">
        <f t="shared" ca="1" si="258"/>
        <v>#N/A</v>
      </c>
      <c r="AE536" s="377">
        <f t="shared" ca="1" si="237"/>
        <v>1397.2630244328768</v>
      </c>
      <c r="AF536" s="344"/>
      <c r="AG536" s="359">
        <f t="shared" ca="1" si="259"/>
        <v>-16.602109711121209</v>
      </c>
      <c r="AH536" s="357">
        <f t="shared" ca="1" si="260"/>
        <v>-7.2095344640995709</v>
      </c>
    </row>
    <row r="537" spans="1:34" x14ac:dyDescent="0.25">
      <c r="A537" s="402">
        <f t="shared" ca="1" si="238"/>
        <v>0.1</v>
      </c>
      <c r="B537" s="357">
        <f t="shared" ca="1" si="239"/>
        <v>8.2999999999999261</v>
      </c>
      <c r="C537" s="342"/>
      <c r="D537" s="359">
        <f t="shared" ca="1" si="240"/>
        <v>-2.0493632231350953</v>
      </c>
      <c r="E537" s="360">
        <f t="shared" ca="1" si="241"/>
        <v>-16.569419206183898</v>
      </c>
      <c r="F537" s="357">
        <f t="shared" ca="1" si="242"/>
        <v>16.695674363456977</v>
      </c>
      <c r="G537" s="359">
        <f t="shared" ca="1" si="243"/>
        <v>50.794915943908634</v>
      </c>
      <c r="H537" s="360">
        <f t="shared" ca="1" si="244"/>
        <v>166.55598247912744</v>
      </c>
      <c r="I537" s="357">
        <f t="shared" ca="1" si="245"/>
        <v>174.12931627194817</v>
      </c>
      <c r="J537" s="359">
        <f t="shared" ca="1" si="246"/>
        <v>362.02318510991353</v>
      </c>
      <c r="K537" s="360">
        <f t="shared" ca="1" si="247"/>
        <v>1414.0014697768204</v>
      </c>
      <c r="L537" s="357">
        <f t="shared" ca="1" si="232"/>
        <v>1459.6098598900101</v>
      </c>
      <c r="M537" s="359">
        <f t="shared" ca="1" si="248"/>
        <v>1.2747843028300414</v>
      </c>
      <c r="N537" s="357">
        <f t="shared" ca="1" si="249"/>
        <v>73.039760341688421</v>
      </c>
      <c r="O537" s="343"/>
      <c r="P537" s="363">
        <f t="shared" ca="1" si="250"/>
        <v>23</v>
      </c>
      <c r="Q537" s="357">
        <f t="shared" ca="1" si="251"/>
        <v>0</v>
      </c>
      <c r="R537" s="359">
        <f t="shared" ca="1" si="252"/>
        <v>0</v>
      </c>
      <c r="S537" s="360">
        <f t="shared" ca="1" si="253"/>
        <v>10.637999999999975</v>
      </c>
      <c r="T537" s="357">
        <f t="shared" ca="1" si="233"/>
        <v>104.35877999999975</v>
      </c>
      <c r="U537" s="364">
        <f t="shared" ca="1" si="234"/>
        <v>0</v>
      </c>
      <c r="V537" s="359">
        <f t="shared" ca="1" si="235"/>
        <v>1.0632225010191281</v>
      </c>
      <c r="W537" s="357">
        <f t="shared" ca="1" si="236"/>
        <v>73.615300834234475</v>
      </c>
      <c r="X537" s="343"/>
      <c r="Y537" s="367" t="str">
        <f t="shared" ca="1" si="254"/>
        <v/>
      </c>
      <c r="Z537" s="368" t="str">
        <f t="shared" ca="1" si="255"/>
        <v/>
      </c>
      <c r="AA537" s="369" t="str">
        <f t="shared" ca="1" si="256"/>
        <v/>
      </c>
      <c r="AB537" s="344"/>
      <c r="AC537" s="363" t="e">
        <f t="shared" ca="1" si="257"/>
        <v>#N/A</v>
      </c>
      <c r="AD537" s="376" t="e">
        <f t="shared" ca="1" si="258"/>
        <v>#N/A</v>
      </c>
      <c r="AE537" s="377">
        <f t="shared" ca="1" si="237"/>
        <v>1414.0014697768204</v>
      </c>
      <c r="AF537" s="344"/>
      <c r="AG537" s="359">
        <f t="shared" ca="1" si="259"/>
        <v>-16.451262580143542</v>
      </c>
      <c r="AH537" s="357">
        <f t="shared" ca="1" si="260"/>
        <v>-7.0632597025216635</v>
      </c>
    </row>
    <row r="538" spans="1:34" x14ac:dyDescent="0.25">
      <c r="A538" s="402">
        <f t="shared" ca="1" si="238"/>
        <v>0.1</v>
      </c>
      <c r="B538" s="357">
        <f t="shared" ca="1" si="239"/>
        <v>8.3999999999999257</v>
      </c>
      <c r="C538" s="342"/>
      <c r="D538" s="359">
        <f t="shared" ca="1" si="240"/>
        <v>-2.0186287598878847</v>
      </c>
      <c r="E538" s="360">
        <f t="shared" ca="1" si="241"/>
        <v>-16.42906196941091</v>
      </c>
      <c r="F538" s="357">
        <f t="shared" ca="1" si="242"/>
        <v>16.552611252155668</v>
      </c>
      <c r="G538" s="359">
        <f t="shared" ca="1" si="243"/>
        <v>50.593053067919847</v>
      </c>
      <c r="H538" s="360">
        <f t="shared" ca="1" si="244"/>
        <v>164.91307628218635</v>
      </c>
      <c r="I538" s="357">
        <f t="shared" ca="1" si="245"/>
        <v>172.49921665789549</v>
      </c>
      <c r="J538" s="359">
        <f t="shared" ca="1" si="246"/>
        <v>367.09258356050498</v>
      </c>
      <c r="K538" s="360">
        <f t="shared" ca="1" si="247"/>
        <v>1430.574922714886</v>
      </c>
      <c r="L538" s="357">
        <f t="shared" ca="1" si="232"/>
        <v>1476.92300896351</v>
      </c>
      <c r="M538" s="359">
        <f t="shared" ca="1" si="248"/>
        <v>1.2731253637784656</v>
      </c>
      <c r="N538" s="357">
        <f t="shared" ca="1" si="249"/>
        <v>72.944710135563696</v>
      </c>
      <c r="O538" s="343"/>
      <c r="P538" s="363">
        <f t="shared" ca="1" si="250"/>
        <v>23</v>
      </c>
      <c r="Q538" s="357">
        <f t="shared" ca="1" si="251"/>
        <v>0</v>
      </c>
      <c r="R538" s="359">
        <f t="shared" ca="1" si="252"/>
        <v>0</v>
      </c>
      <c r="S538" s="360">
        <f t="shared" ca="1" si="253"/>
        <v>10.637999999999975</v>
      </c>
      <c r="T538" s="357">
        <f t="shared" ca="1" si="233"/>
        <v>104.35877999999975</v>
      </c>
      <c r="U538" s="364">
        <f t="shared" ca="1" si="234"/>
        <v>0</v>
      </c>
      <c r="V538" s="359">
        <f t="shared" ca="1" si="235"/>
        <v>1.0614528915677146</v>
      </c>
      <c r="W538" s="357">
        <f t="shared" ca="1" si="236"/>
        <v>72.123222274324092</v>
      </c>
      <c r="X538" s="343"/>
      <c r="Y538" s="367" t="str">
        <f t="shared" ca="1" si="254"/>
        <v/>
      </c>
      <c r="Z538" s="368" t="str">
        <f t="shared" ca="1" si="255"/>
        <v/>
      </c>
      <c r="AA538" s="369" t="str">
        <f t="shared" ca="1" si="256"/>
        <v/>
      </c>
      <c r="AB538" s="344"/>
      <c r="AC538" s="363" t="e">
        <f t="shared" ca="1" si="257"/>
        <v>#N/A</v>
      </c>
      <c r="AD538" s="376" t="e">
        <f t="shared" ca="1" si="258"/>
        <v>#N/A</v>
      </c>
      <c r="AE538" s="377">
        <f t="shared" ca="1" si="237"/>
        <v>1430.574922714886</v>
      </c>
      <c r="AF538" s="344"/>
      <c r="AG538" s="359">
        <f t="shared" ca="1" si="259"/>
        <v>-16.303369797148299</v>
      </c>
      <c r="AH538" s="357">
        <f t="shared" ca="1" si="260"/>
        <v>-6.9200320393151573</v>
      </c>
    </row>
    <row r="539" spans="1:34" x14ac:dyDescent="0.25">
      <c r="A539" s="402">
        <f t="shared" ca="1" si="238"/>
        <v>0.1</v>
      </c>
      <c r="B539" s="357">
        <f t="shared" ca="1" si="239"/>
        <v>8.4999999999999254</v>
      </c>
      <c r="C539" s="342"/>
      <c r="D539" s="359">
        <f t="shared" ca="1" si="240"/>
        <v>-1.9884693277605081</v>
      </c>
      <c r="E539" s="360">
        <f t="shared" ca="1" si="241"/>
        <v>-16.291613068369813</v>
      </c>
      <c r="F539" s="357">
        <f t="shared" ca="1" si="242"/>
        <v>16.412515548718375</v>
      </c>
      <c r="G539" s="359">
        <f t="shared" ca="1" si="243"/>
        <v>50.394206135143797</v>
      </c>
      <c r="H539" s="360">
        <f t="shared" ca="1" si="244"/>
        <v>163.28391497534938</v>
      </c>
      <c r="I539" s="357">
        <f t="shared" ca="1" si="245"/>
        <v>170.88362385456509</v>
      </c>
      <c r="J539" s="359">
        <f t="shared" ca="1" si="246"/>
        <v>372.14194652065817</v>
      </c>
      <c r="K539" s="360">
        <f t="shared" ca="1" si="247"/>
        <v>1446.9847722777629</v>
      </c>
      <c r="L539" s="357">
        <f t="shared" ca="1" si="232"/>
        <v>1494.0731439805461</v>
      </c>
      <c r="M539" s="359">
        <f t="shared" ca="1" si="248"/>
        <v>1.2714416334763292</v>
      </c>
      <c r="N539" s="357">
        <f t="shared" ca="1" si="249"/>
        <v>72.848239495412983</v>
      </c>
      <c r="O539" s="343"/>
      <c r="P539" s="363">
        <f t="shared" ca="1" si="250"/>
        <v>23</v>
      </c>
      <c r="Q539" s="357">
        <f t="shared" ca="1" si="251"/>
        <v>0</v>
      </c>
      <c r="R539" s="359">
        <f t="shared" ca="1" si="252"/>
        <v>0</v>
      </c>
      <c r="S539" s="360">
        <f t="shared" ca="1" si="253"/>
        <v>10.637999999999975</v>
      </c>
      <c r="T539" s="357">
        <f t="shared" ca="1" si="233"/>
        <v>104.35877999999975</v>
      </c>
      <c r="U539" s="364">
        <f t="shared" ca="1" si="234"/>
        <v>0</v>
      </c>
      <c r="V539" s="359">
        <f t="shared" ca="1" si="235"/>
        <v>1.059703445275771</v>
      </c>
      <c r="W539" s="357">
        <f t="shared" ca="1" si="236"/>
        <v>70.661911201601157</v>
      </c>
      <c r="X539" s="343"/>
      <c r="Y539" s="367" t="str">
        <f t="shared" ca="1" si="254"/>
        <v/>
      </c>
      <c r="Z539" s="368" t="str">
        <f t="shared" ca="1" si="255"/>
        <v/>
      </c>
      <c r="AA539" s="369" t="str">
        <f t="shared" ca="1" si="256"/>
        <v/>
      </c>
      <c r="AB539" s="344"/>
      <c r="AC539" s="363" t="e">
        <f t="shared" ca="1" si="257"/>
        <v>#N/A</v>
      </c>
      <c r="AD539" s="376" t="e">
        <f t="shared" ca="1" si="258"/>
        <v>#N/A</v>
      </c>
      <c r="AE539" s="377">
        <f t="shared" ca="1" si="237"/>
        <v>1446.9847722777629</v>
      </c>
      <c r="AF539" s="344"/>
      <c r="AG539" s="359">
        <f t="shared" ca="1" si="259"/>
        <v>-16.158350263439733</v>
      </c>
      <c r="AH539" s="357">
        <f t="shared" ca="1" si="260"/>
        <v>-6.7797727274228485</v>
      </c>
    </row>
    <row r="540" spans="1:34" x14ac:dyDescent="0.25">
      <c r="A540" s="402">
        <f t="shared" ca="1" si="238"/>
        <v>0.1</v>
      </c>
      <c r="B540" s="357">
        <f t="shared" ca="1" si="239"/>
        <v>8.599999999999925</v>
      </c>
      <c r="C540" s="342"/>
      <c r="D540" s="359">
        <f t="shared" ca="1" si="240"/>
        <v>-1.9588697355566036</v>
      </c>
      <c r="E540" s="360">
        <f t="shared" ca="1" si="241"/>
        <v>-16.156997876911724</v>
      </c>
      <c r="F540" s="357">
        <f t="shared" ca="1" si="242"/>
        <v>16.275311088744495</v>
      </c>
      <c r="G540" s="359">
        <f t="shared" ca="1" si="243"/>
        <v>50.198319161588138</v>
      </c>
      <c r="H540" s="360">
        <f t="shared" ca="1" si="244"/>
        <v>161.66821518765821</v>
      </c>
      <c r="I540" s="357">
        <f t="shared" ca="1" si="245"/>
        <v>169.28225851698585</v>
      </c>
      <c r="J540" s="359">
        <f t="shared" ca="1" si="246"/>
        <v>377.17157278549479</v>
      </c>
      <c r="K540" s="360">
        <f t="shared" ca="1" si="247"/>
        <v>1463.2323787859132</v>
      </c>
      <c r="L540" s="357">
        <f t="shared" ca="1" si="232"/>
        <v>1511.0616763206478</v>
      </c>
      <c r="M540" s="359">
        <f t="shared" ca="1" si="248"/>
        <v>1.2697326497117638</v>
      </c>
      <c r="N540" s="357">
        <f t="shared" ca="1" si="249"/>
        <v>72.750321938447016</v>
      </c>
      <c r="O540" s="343"/>
      <c r="P540" s="363">
        <f t="shared" ca="1" si="250"/>
        <v>23</v>
      </c>
      <c r="Q540" s="357">
        <f t="shared" ca="1" si="251"/>
        <v>0</v>
      </c>
      <c r="R540" s="359">
        <f t="shared" ca="1" si="252"/>
        <v>0</v>
      </c>
      <c r="S540" s="360">
        <f t="shared" ca="1" si="253"/>
        <v>10.637999999999975</v>
      </c>
      <c r="T540" s="357">
        <f t="shared" ca="1" si="233"/>
        <v>104.35877999999975</v>
      </c>
      <c r="U540" s="364">
        <f t="shared" ca="1" si="234"/>
        <v>0</v>
      </c>
      <c r="V540" s="359">
        <f t="shared" ca="1" si="235"/>
        <v>1.0579739311973908</v>
      </c>
      <c r="W540" s="357">
        <f t="shared" ca="1" si="236"/>
        <v>69.230584555187747</v>
      </c>
      <c r="X540" s="343"/>
      <c r="Y540" s="367" t="str">
        <f t="shared" ca="1" si="254"/>
        <v/>
      </c>
      <c r="Z540" s="368" t="str">
        <f t="shared" ca="1" si="255"/>
        <v/>
      </c>
      <c r="AA540" s="369" t="str">
        <f t="shared" ca="1" si="256"/>
        <v/>
      </c>
      <c r="AB540" s="344"/>
      <c r="AC540" s="363" t="e">
        <f t="shared" ca="1" si="257"/>
        <v>#N/A</v>
      </c>
      <c r="AD540" s="376" t="e">
        <f t="shared" ca="1" si="258"/>
        <v>#N/A</v>
      </c>
      <c r="AE540" s="377">
        <f t="shared" ca="1" si="237"/>
        <v>1463.2323787859132</v>
      </c>
      <c r="AF540" s="344"/>
      <c r="AG540" s="359">
        <f t="shared" ca="1" si="259"/>
        <v>-16.016125425601885</v>
      </c>
      <c r="AH540" s="357">
        <f t="shared" ca="1" si="260"/>
        <v>-6.6424056403084526</v>
      </c>
    </row>
    <row r="541" spans="1:34" x14ac:dyDescent="0.25">
      <c r="A541" s="402">
        <f t="shared" ca="1" si="238"/>
        <v>0.1</v>
      </c>
      <c r="B541" s="357">
        <f t="shared" ca="1" si="239"/>
        <v>8.6999999999999247</v>
      </c>
      <c r="C541" s="342"/>
      <c r="D541" s="359">
        <f t="shared" ca="1" si="240"/>
        <v>-1.9298152922148641</v>
      </c>
      <c r="E541" s="360">
        <f t="shared" ca="1" si="241"/>
        <v>-16.02514423480859</v>
      </c>
      <c r="F541" s="357">
        <f t="shared" ca="1" si="242"/>
        <v>16.140924224110751</v>
      </c>
      <c r="G541" s="359">
        <f t="shared" ca="1" si="243"/>
        <v>50.005337632366654</v>
      </c>
      <c r="H541" s="360">
        <f t="shared" ca="1" si="244"/>
        <v>160.06570076417734</v>
      </c>
      <c r="I541" s="357">
        <f t="shared" ca="1" si="245"/>
        <v>167.69484891568419</v>
      </c>
      <c r="J541" s="359">
        <f t="shared" ca="1" si="246"/>
        <v>382.18175562519252</v>
      </c>
      <c r="K541" s="360">
        <f t="shared" ca="1" si="247"/>
        <v>1479.319074583505</v>
      </c>
      <c r="L541" s="357">
        <f t="shared" ca="1" si="232"/>
        <v>1527.8899890893165</v>
      </c>
      <c r="M541" s="359">
        <f t="shared" ca="1" si="248"/>
        <v>1.2679979383080779</v>
      </c>
      <c r="N541" s="357">
        <f t="shared" ca="1" si="249"/>
        <v>72.650930296342594</v>
      </c>
      <c r="O541" s="343"/>
      <c r="P541" s="363">
        <f t="shared" ca="1" si="250"/>
        <v>23</v>
      </c>
      <c r="Q541" s="357">
        <f t="shared" ca="1" si="251"/>
        <v>0</v>
      </c>
      <c r="R541" s="359">
        <f t="shared" ca="1" si="252"/>
        <v>0</v>
      </c>
      <c r="S541" s="360">
        <f t="shared" ca="1" si="253"/>
        <v>10.637999999999975</v>
      </c>
      <c r="T541" s="357">
        <f t="shared" ca="1" si="233"/>
        <v>104.35877999999975</v>
      </c>
      <c r="U541" s="364">
        <f t="shared" ca="1" si="234"/>
        <v>0</v>
      </c>
      <c r="V541" s="359">
        <f t="shared" ca="1" si="235"/>
        <v>1.0562641234042534</v>
      </c>
      <c r="W541" s="357">
        <f t="shared" ca="1" si="236"/>
        <v>67.828484994612438</v>
      </c>
      <c r="X541" s="343"/>
      <c r="Y541" s="367" t="str">
        <f t="shared" ca="1" si="254"/>
        <v/>
      </c>
      <c r="Z541" s="368" t="str">
        <f t="shared" ca="1" si="255"/>
        <v/>
      </c>
      <c r="AA541" s="369" t="str">
        <f t="shared" ca="1" si="256"/>
        <v/>
      </c>
      <c r="AB541" s="344"/>
      <c r="AC541" s="363" t="e">
        <f t="shared" ca="1" si="257"/>
        <v>#N/A</v>
      </c>
      <c r="AD541" s="376" t="e">
        <f t="shared" ca="1" si="258"/>
        <v>#N/A</v>
      </c>
      <c r="AE541" s="377">
        <f t="shared" ca="1" si="237"/>
        <v>1479.319074583505</v>
      </c>
      <c r="AF541" s="344"/>
      <c r="AG541" s="359">
        <f t="shared" ca="1" si="259"/>
        <v>-15.876619168913868</v>
      </c>
      <c r="AH541" s="357">
        <f t="shared" ca="1" si="260"/>
        <v>-6.507857168188373</v>
      </c>
    </row>
    <row r="542" spans="1:34" x14ac:dyDescent="0.25">
      <c r="A542" s="402">
        <f t="shared" ca="1" si="238"/>
        <v>0.1</v>
      </c>
      <c r="B542" s="357">
        <f t="shared" ca="1" si="239"/>
        <v>8.7999999999999243</v>
      </c>
      <c r="C542" s="342"/>
      <c r="D542" s="359">
        <f t="shared" ca="1" si="240"/>
        <v>-1.9012917871858281</v>
      </c>
      <c r="E542" s="360">
        <f t="shared" ca="1" si="241"/>
        <v>-15.895982350733931</v>
      </c>
      <c r="F542" s="357">
        <f t="shared" ca="1" si="242"/>
        <v>16.009283723979188</v>
      </c>
      <c r="G542" s="359">
        <f t="shared" ca="1" si="243"/>
        <v>49.815208453648069</v>
      </c>
      <c r="H542" s="360">
        <f t="shared" ca="1" si="244"/>
        <v>158.47610252910394</v>
      </c>
      <c r="I542" s="357">
        <f t="shared" ca="1" si="245"/>
        <v>166.12113070315732</v>
      </c>
      <c r="J542" s="359">
        <f t="shared" ca="1" si="246"/>
        <v>387.17278292949328</v>
      </c>
      <c r="K542" s="360">
        <f t="shared" ca="1" si="247"/>
        <v>1495.2461647481691</v>
      </c>
      <c r="L542" s="357">
        <f t="shared" ca="1" si="232"/>
        <v>1544.5594378448106</v>
      </c>
      <c r="M542" s="359">
        <f t="shared" ca="1" si="248"/>
        <v>1.2662370127586537</v>
      </c>
      <c r="N542" s="357">
        <f t="shared" ca="1" si="249"/>
        <v>72.550036694323836</v>
      </c>
      <c r="O542" s="343"/>
      <c r="P542" s="363">
        <f t="shared" ca="1" si="250"/>
        <v>23</v>
      </c>
      <c r="Q542" s="357">
        <f t="shared" ca="1" si="251"/>
        <v>0</v>
      </c>
      <c r="R542" s="359">
        <f t="shared" ca="1" si="252"/>
        <v>0</v>
      </c>
      <c r="S542" s="360">
        <f t="shared" ca="1" si="253"/>
        <v>10.637999999999975</v>
      </c>
      <c r="T542" s="357">
        <f t="shared" ca="1" si="233"/>
        <v>104.35877999999975</v>
      </c>
      <c r="U542" s="364">
        <f t="shared" ca="1" si="234"/>
        <v>0</v>
      </c>
      <c r="V542" s="359">
        <f t="shared" ca="1" si="235"/>
        <v>1.0545738008508669</v>
      </c>
      <c r="W542" s="357">
        <f t="shared" ca="1" si="236"/>
        <v>66.454879895389368</v>
      </c>
      <c r="X542" s="343"/>
      <c r="Y542" s="367" t="str">
        <f t="shared" ca="1" si="254"/>
        <v/>
      </c>
      <c r="Z542" s="368" t="str">
        <f t="shared" ca="1" si="255"/>
        <v/>
      </c>
      <c r="AA542" s="369" t="str">
        <f t="shared" ca="1" si="256"/>
        <v/>
      </c>
      <c r="AB542" s="344"/>
      <c r="AC542" s="363" t="e">
        <f t="shared" ca="1" si="257"/>
        <v>#N/A</v>
      </c>
      <c r="AD542" s="376" t="e">
        <f t="shared" ca="1" si="258"/>
        <v>#N/A</v>
      </c>
      <c r="AE542" s="377">
        <f t="shared" ca="1" si="237"/>
        <v>1495.2461647481691</v>
      </c>
      <c r="AF542" s="344"/>
      <c r="AG542" s="359">
        <f t="shared" ca="1" si="259"/>
        <v>-15.739757715445423</v>
      </c>
      <c r="AH542" s="357">
        <f t="shared" ca="1" si="260"/>
        <v>-6.3760561190649181</v>
      </c>
    </row>
    <row r="543" spans="1:34" x14ac:dyDescent="0.25">
      <c r="A543" s="402">
        <f t="shared" ca="1" si="238"/>
        <v>0.1</v>
      </c>
      <c r="B543" s="357">
        <f t="shared" ca="1" si="239"/>
        <v>8.899999999999924</v>
      </c>
      <c r="C543" s="342"/>
      <c r="D543" s="359">
        <f t="shared" ca="1" si="240"/>
        <v>-1.8732854717145053</v>
      </c>
      <c r="E543" s="360">
        <f t="shared" ca="1" si="241"/>
        <v>-15.769444709700263</v>
      </c>
      <c r="F543" s="357">
        <f t="shared" ca="1" si="242"/>
        <v>15.880320680352467</v>
      </c>
      <c r="G543" s="359">
        <f t="shared" ca="1" si="243"/>
        <v>49.627879906476615</v>
      </c>
      <c r="H543" s="360">
        <f t="shared" ca="1" si="244"/>
        <v>156.89915805813391</v>
      </c>
      <c r="I543" s="357">
        <f t="shared" ca="1" si="245"/>
        <v>164.56084669010107</v>
      </c>
      <c r="J543" s="359">
        <f t="shared" ca="1" si="246"/>
        <v>392.14493734749954</v>
      </c>
      <c r="K543" s="360">
        <f t="shared" ca="1" si="247"/>
        <v>1511.0149277775311</v>
      </c>
      <c r="L543" s="357">
        <f t="shared" ca="1" si="232"/>
        <v>1561.0713513013463</v>
      </c>
      <c r="M543" s="359">
        <f t="shared" ca="1" si="248"/>
        <v>1.2644493738487028</v>
      </c>
      <c r="N543" s="357">
        <f t="shared" ca="1" si="249"/>
        <v>72.447612529490272</v>
      </c>
      <c r="O543" s="343"/>
      <c r="P543" s="363">
        <f t="shared" ca="1" si="250"/>
        <v>23</v>
      </c>
      <c r="Q543" s="357">
        <f t="shared" ca="1" si="251"/>
        <v>0</v>
      </c>
      <c r="R543" s="359">
        <f t="shared" ca="1" si="252"/>
        <v>0</v>
      </c>
      <c r="S543" s="360">
        <f t="shared" ca="1" si="253"/>
        <v>10.637999999999975</v>
      </c>
      <c r="T543" s="357">
        <f t="shared" ca="1" si="233"/>
        <v>104.35877999999975</v>
      </c>
      <c r="U543" s="364">
        <f t="shared" ca="1" si="234"/>
        <v>0</v>
      </c>
      <c r="V543" s="359">
        <f t="shared" ca="1" si="235"/>
        <v>1.0529027472444124</v>
      </c>
      <c r="W543" s="357">
        <f t="shared" ca="1" si="236"/>
        <v>65.109060390452441</v>
      </c>
      <c r="X543" s="343"/>
      <c r="Y543" s="367" t="str">
        <f t="shared" ca="1" si="254"/>
        <v/>
      </c>
      <c r="Z543" s="368" t="str">
        <f t="shared" ca="1" si="255"/>
        <v/>
      </c>
      <c r="AA543" s="369" t="str">
        <f t="shared" ca="1" si="256"/>
        <v/>
      </c>
      <c r="AB543" s="344"/>
      <c r="AC543" s="363" t="e">
        <f t="shared" ca="1" si="257"/>
        <v>#N/A</v>
      </c>
      <c r="AD543" s="376" t="e">
        <f t="shared" ca="1" si="258"/>
        <v>#N/A</v>
      </c>
      <c r="AE543" s="377">
        <f t="shared" ca="1" si="237"/>
        <v>1511.0149277775311</v>
      </c>
      <c r="AF543" s="344"/>
      <c r="AG543" s="359">
        <f t="shared" ca="1" si="259"/>
        <v>-15.60546952657403</v>
      </c>
      <c r="AH543" s="357">
        <f t="shared" ca="1" si="260"/>
        <v>-6.2469336243080962</v>
      </c>
    </row>
    <row r="544" spans="1:34" x14ac:dyDescent="0.25">
      <c r="A544" s="402">
        <f t="shared" ca="1" si="238"/>
        <v>0.1</v>
      </c>
      <c r="B544" s="357">
        <f t="shared" ca="1" si="239"/>
        <v>8.9999999999999236</v>
      </c>
      <c r="C544" s="342"/>
      <c r="D544" s="359">
        <f t="shared" ca="1" si="240"/>
        <v>-1.845783040981632</v>
      </c>
      <c r="E544" s="360">
        <f t="shared" ca="1" si="241"/>
        <v>-15.645465984719731</v>
      </c>
      <c r="F544" s="357">
        <f t="shared" ca="1" si="242"/>
        <v>15.753968417938305</v>
      </c>
      <c r="G544" s="359">
        <f t="shared" ca="1" si="243"/>
        <v>49.443301602378455</v>
      </c>
      <c r="H544" s="360">
        <f t="shared" ca="1" si="244"/>
        <v>155.33461145966194</v>
      </c>
      <c r="I544" s="357">
        <f t="shared" ca="1" si="245"/>
        <v>163.01374663097556</v>
      </c>
      <c r="J544" s="359">
        <f t="shared" ca="1" si="246"/>
        <v>397.09849642294228</v>
      </c>
      <c r="K544" s="360">
        <f t="shared" ca="1" si="247"/>
        <v>1526.6266162534209</v>
      </c>
      <c r="L544" s="357">
        <f t="shared" ca="1" si="232"/>
        <v>1577.4270320096366</v>
      </c>
      <c r="M544" s="359">
        <f t="shared" ca="1" si="248"/>
        <v>1.2626345092633595</v>
      </c>
      <c r="N544" s="357">
        <f t="shared" ca="1" si="249"/>
        <v>72.343628448362352</v>
      </c>
      <c r="O544" s="343"/>
      <c r="P544" s="363">
        <f t="shared" ca="1" si="250"/>
        <v>23</v>
      </c>
      <c r="Q544" s="357">
        <f t="shared" ca="1" si="251"/>
        <v>0</v>
      </c>
      <c r="R544" s="359">
        <f t="shared" ca="1" si="252"/>
        <v>0</v>
      </c>
      <c r="S544" s="360">
        <f t="shared" ca="1" si="253"/>
        <v>10.637999999999975</v>
      </c>
      <c r="T544" s="357">
        <f t="shared" ca="1" si="233"/>
        <v>104.35877999999975</v>
      </c>
      <c r="U544" s="364">
        <f t="shared" ca="1" si="234"/>
        <v>0</v>
      </c>
      <c r="V544" s="359">
        <f t="shared" ca="1" si="235"/>
        <v>1.0512507509190105</v>
      </c>
      <c r="W544" s="357">
        <f t="shared" ca="1" si="236"/>
        <v>63.790340455062214</v>
      </c>
      <c r="X544" s="343"/>
      <c r="Y544" s="367" t="str">
        <f t="shared" ca="1" si="254"/>
        <v/>
      </c>
      <c r="Z544" s="368" t="str">
        <f t="shared" ca="1" si="255"/>
        <v/>
      </c>
      <c r="AA544" s="369" t="str">
        <f t="shared" ca="1" si="256"/>
        <v/>
      </c>
      <c r="AB544" s="344"/>
      <c r="AC544" s="363">
        <f t="shared" ca="1" si="257"/>
        <v>8.9999999999999236</v>
      </c>
      <c r="AD544" s="376">
        <f t="shared" ca="1" si="258"/>
        <v>397.09849642294228</v>
      </c>
      <c r="AE544" s="377">
        <f t="shared" ca="1" si="237"/>
        <v>1526.6266162534209</v>
      </c>
      <c r="AF544" s="344"/>
      <c r="AG544" s="359">
        <f t="shared" ca="1" si="259"/>
        <v>-15.473685209679459</v>
      </c>
      <c r="AH544" s="357">
        <f t="shared" ca="1" si="260"/>
        <v>-6.1204230485479032</v>
      </c>
    </row>
    <row r="545" spans="1:34" x14ac:dyDescent="0.25">
      <c r="A545" s="402">
        <f t="shared" ca="1" si="238"/>
        <v>0.1</v>
      </c>
      <c r="B545" s="357">
        <f t="shared" ca="1" si="239"/>
        <v>9.0999999999999233</v>
      </c>
      <c r="C545" s="342"/>
      <c r="D545" s="359">
        <f t="shared" ca="1" si="240"/>
        <v>-1.8187716170591668</v>
      </c>
      <c r="E545" s="360">
        <f t="shared" ca="1" si="241"/>
        <v>-15.523982952468454</v>
      </c>
      <c r="F545" s="357">
        <f t="shared" ca="1" si="242"/>
        <v>15.630162408099002</v>
      </c>
      <c r="G545" s="359">
        <f t="shared" ca="1" si="243"/>
        <v>49.261424440672535</v>
      </c>
      <c r="H545" s="360">
        <f t="shared" ca="1" si="244"/>
        <v>153.78221316441511</v>
      </c>
      <c r="I545" s="357">
        <f t="shared" ca="1" si="245"/>
        <v>161.47958701851357</v>
      </c>
      <c r="J545" s="359">
        <f t="shared" ca="1" si="246"/>
        <v>402.03373272509481</v>
      </c>
      <c r="K545" s="360">
        <f t="shared" ca="1" si="247"/>
        <v>1542.0824574846247</v>
      </c>
      <c r="L545" s="357">
        <f t="shared" ca="1" si="232"/>
        <v>1593.6277570156376</v>
      </c>
      <c r="M545" s="359">
        <f t="shared" ca="1" si="248"/>
        <v>1.2607918931815663</v>
      </c>
      <c r="N545" s="357">
        <f t="shared" ca="1" si="249"/>
        <v>72.238054323612658</v>
      </c>
      <c r="O545" s="343"/>
      <c r="P545" s="363">
        <f t="shared" ca="1" si="250"/>
        <v>23</v>
      </c>
      <c r="Q545" s="357">
        <f t="shared" ca="1" si="251"/>
        <v>0</v>
      </c>
      <c r="R545" s="359">
        <f t="shared" ca="1" si="252"/>
        <v>0</v>
      </c>
      <c r="S545" s="360">
        <f t="shared" ca="1" si="253"/>
        <v>10.637999999999975</v>
      </c>
      <c r="T545" s="357">
        <f t="shared" ca="1" si="233"/>
        <v>104.35877999999975</v>
      </c>
      <c r="U545" s="364">
        <f t="shared" ca="1" si="234"/>
        <v>0</v>
      </c>
      <c r="V545" s="359">
        <f t="shared" ca="1" si="235"/>
        <v>1.0496176047142247</v>
      </c>
      <c r="W545" s="357">
        <f t="shared" ca="1" si="236"/>
        <v>62.498056032940042</v>
      </c>
      <c r="X545" s="343"/>
      <c r="Y545" s="367" t="str">
        <f t="shared" ca="1" si="254"/>
        <v/>
      </c>
      <c r="Z545" s="368" t="str">
        <f t="shared" ca="1" si="255"/>
        <v/>
      </c>
      <c r="AA545" s="369" t="str">
        <f t="shared" ca="1" si="256"/>
        <v/>
      </c>
      <c r="AB545" s="344"/>
      <c r="AC545" s="363" t="e">
        <f t="shared" ca="1" si="257"/>
        <v>#N/A</v>
      </c>
      <c r="AD545" s="376" t="e">
        <f t="shared" ca="1" si="258"/>
        <v>#N/A</v>
      </c>
      <c r="AE545" s="377">
        <f t="shared" ca="1" si="237"/>
        <v>1542.0824574846247</v>
      </c>
      <c r="AF545" s="344"/>
      <c r="AG545" s="359">
        <f t="shared" ca="1" si="259"/>
        <v>-15.344337428785316</v>
      </c>
      <c r="AH545" s="357">
        <f t="shared" ca="1" si="260"/>
        <v>-5.9964599036531645</v>
      </c>
    </row>
    <row r="546" spans="1:34" x14ac:dyDescent="0.25">
      <c r="A546" s="402">
        <f t="shared" ca="1" si="238"/>
        <v>0.1</v>
      </c>
      <c r="B546" s="357">
        <f t="shared" ca="1" si="239"/>
        <v>9.1999999999999229</v>
      </c>
      <c r="C546" s="342"/>
      <c r="D546" s="359">
        <f t="shared" ca="1" si="240"/>
        <v>-1.7922387326381797</v>
      </c>
      <c r="E546" s="360">
        <f t="shared" ca="1" si="241"/>
        <v>-15.404934412747625</v>
      </c>
      <c r="F546" s="357">
        <f t="shared" ca="1" si="242"/>
        <v>15.50884018667497</v>
      </c>
      <c r="G546" s="359">
        <f t="shared" ca="1" si="243"/>
        <v>49.082200567408719</v>
      </c>
      <c r="H546" s="360">
        <f t="shared" ca="1" si="244"/>
        <v>152.24171972314033</v>
      </c>
      <c r="I546" s="357">
        <f t="shared" ca="1" si="245"/>
        <v>159.95813088679972</v>
      </c>
      <c r="J546" s="359">
        <f t="shared" ca="1" si="246"/>
        <v>406.95091397549885</v>
      </c>
      <c r="K546" s="360">
        <f t="shared" ca="1" si="247"/>
        <v>1557.3836541290025</v>
      </c>
      <c r="L546" s="357">
        <f t="shared" ca="1" si="232"/>
        <v>1609.6747784983459</v>
      </c>
      <c r="M546" s="359">
        <f t="shared" ca="1" si="248"/>
        <v>1.2589209858551837</v>
      </c>
      <c r="N546" s="357">
        <f t="shared" ca="1" si="249"/>
        <v>72.130859229950843</v>
      </c>
      <c r="O546" s="343"/>
      <c r="P546" s="363">
        <f t="shared" ca="1" si="250"/>
        <v>23</v>
      </c>
      <c r="Q546" s="357">
        <f t="shared" ca="1" si="251"/>
        <v>0</v>
      </c>
      <c r="R546" s="359">
        <f t="shared" ca="1" si="252"/>
        <v>0</v>
      </c>
      <c r="S546" s="360">
        <f t="shared" ca="1" si="253"/>
        <v>10.637999999999975</v>
      </c>
      <c r="T546" s="357">
        <f t="shared" ca="1" si="233"/>
        <v>104.35877999999975</v>
      </c>
      <c r="U546" s="364">
        <f t="shared" ca="1" si="234"/>
        <v>0</v>
      </c>
      <c r="V546" s="359">
        <f t="shared" ca="1" si="235"/>
        <v>1.0480031058576424</v>
      </c>
      <c r="W546" s="357">
        <f t="shared" ca="1" si="236"/>
        <v>61.231564201516107</v>
      </c>
      <c r="X546" s="343"/>
      <c r="Y546" s="367" t="str">
        <f t="shared" ca="1" si="254"/>
        <v/>
      </c>
      <c r="Z546" s="368" t="str">
        <f t="shared" ca="1" si="255"/>
        <v/>
      </c>
      <c r="AA546" s="369" t="str">
        <f t="shared" ca="1" si="256"/>
        <v/>
      </c>
      <c r="AB546" s="344"/>
      <c r="AC546" s="363" t="e">
        <f t="shared" ca="1" si="257"/>
        <v>#N/A</v>
      </c>
      <c r="AD546" s="376" t="e">
        <f t="shared" ca="1" si="258"/>
        <v>#N/A</v>
      </c>
      <c r="AE546" s="377">
        <f t="shared" ca="1" si="237"/>
        <v>1557.3836541290025</v>
      </c>
      <c r="AF546" s="344"/>
      <c r="AG546" s="359">
        <f t="shared" ca="1" si="259"/>
        <v>-15.217360818929786</v>
      </c>
      <c r="AH546" s="357">
        <f t="shared" ca="1" si="260"/>
        <v>-5.8749817665858419</v>
      </c>
    </row>
    <row r="547" spans="1:34" x14ac:dyDescent="0.25">
      <c r="A547" s="402">
        <f t="shared" ca="1" si="238"/>
        <v>0.1</v>
      </c>
      <c r="B547" s="357">
        <f t="shared" ca="1" si="239"/>
        <v>9.2999999999999226</v>
      </c>
      <c r="C547" s="342"/>
      <c r="D547" s="359">
        <f t="shared" ca="1" si="240"/>
        <v>-1.7661723154897782</v>
      </c>
      <c r="E547" s="360">
        <f t="shared" ca="1" si="241"/>
        <v>-15.288261111546579</v>
      </c>
      <c r="F547" s="357">
        <f t="shared" ca="1" si="242"/>
        <v>15.389941275483475</v>
      </c>
      <c r="G547" s="359">
        <f t="shared" ca="1" si="243"/>
        <v>48.905583335859738</v>
      </c>
      <c r="H547" s="360">
        <f t="shared" ca="1" si="244"/>
        <v>150.71289361198566</v>
      </c>
      <c r="I547" s="357">
        <f t="shared" ca="1" si="245"/>
        <v>158.44914762256826</v>
      </c>
      <c r="J547" s="359">
        <f t="shared" ca="1" si="246"/>
        <v>411.8503031706623</v>
      </c>
      <c r="K547" s="360">
        <f t="shared" ca="1" si="247"/>
        <v>1572.5313847957589</v>
      </c>
      <c r="L547" s="357">
        <f t="shared" ca="1" si="232"/>
        <v>1625.5693243874387</v>
      </c>
      <c r="M547" s="359">
        <f t="shared" ca="1" si="248"/>
        <v>1.257021233172734</v>
      </c>
      <c r="N547" s="357">
        <f t="shared" ca="1" si="249"/>
        <v>72.022011419127807</v>
      </c>
      <c r="O547" s="343"/>
      <c r="P547" s="363">
        <f t="shared" ca="1" si="250"/>
        <v>23</v>
      </c>
      <c r="Q547" s="357">
        <f t="shared" ca="1" si="251"/>
        <v>0</v>
      </c>
      <c r="R547" s="359">
        <f t="shared" ca="1" si="252"/>
        <v>0</v>
      </c>
      <c r="S547" s="360">
        <f t="shared" ca="1" si="253"/>
        <v>10.637999999999975</v>
      </c>
      <c r="T547" s="357">
        <f t="shared" ca="1" si="233"/>
        <v>104.35877999999975</v>
      </c>
      <c r="U547" s="364">
        <f t="shared" ca="1" si="234"/>
        <v>0</v>
      </c>
      <c r="V547" s="359">
        <f t="shared" ca="1" si="235"/>
        <v>1.0464070558513603</v>
      </c>
      <c r="W547" s="357">
        <f t="shared" ca="1" si="236"/>
        <v>59.990242374297786</v>
      </c>
      <c r="X547" s="343"/>
      <c r="Y547" s="367" t="str">
        <f t="shared" ca="1" si="254"/>
        <v/>
      </c>
      <c r="Z547" s="368" t="str">
        <f t="shared" ca="1" si="255"/>
        <v/>
      </c>
      <c r="AA547" s="369" t="str">
        <f t="shared" ca="1" si="256"/>
        <v/>
      </c>
      <c r="AB547" s="344"/>
      <c r="AC547" s="363" t="e">
        <f t="shared" ca="1" si="257"/>
        <v>#N/A</v>
      </c>
      <c r="AD547" s="376" t="e">
        <f t="shared" ca="1" si="258"/>
        <v>#N/A</v>
      </c>
      <c r="AE547" s="377">
        <f t="shared" ca="1" si="237"/>
        <v>1572.5313847957589</v>
      </c>
      <c r="AF547" s="344"/>
      <c r="AG547" s="359">
        <f t="shared" ca="1" si="259"/>
        <v>-15.092691904059761</v>
      </c>
      <c r="AH547" s="357">
        <f t="shared" ca="1" si="260"/>
        <v>-5.7559282009321535</v>
      </c>
    </row>
    <row r="548" spans="1:34" x14ac:dyDescent="0.25">
      <c r="A548" s="402">
        <f t="shared" ca="1" si="238"/>
        <v>0.1</v>
      </c>
      <c r="B548" s="357">
        <f t="shared" ca="1" si="239"/>
        <v>9.3999999999999222</v>
      </c>
      <c r="C548" s="342"/>
      <c r="D548" s="359">
        <f t="shared" ca="1" si="240"/>
        <v>-1.7405606736219459</v>
      </c>
      <c r="E548" s="360">
        <f t="shared" ca="1" si="241"/>
        <v>-15.173905667524107</v>
      </c>
      <c r="F548" s="357">
        <f t="shared" ca="1" si="242"/>
        <v>15.27340710730515</v>
      </c>
      <c r="G548" s="359">
        <f t="shared" ca="1" si="243"/>
        <v>48.731527268497544</v>
      </c>
      <c r="H548" s="360">
        <f t="shared" ca="1" si="244"/>
        <v>149.19550304523327</v>
      </c>
      <c r="I548" s="357">
        <f t="shared" ca="1" si="245"/>
        <v>156.95241278438675</v>
      </c>
      <c r="J548" s="359">
        <f t="shared" ca="1" si="246"/>
        <v>416.73215870088018</v>
      </c>
      <c r="K548" s="360">
        <f t="shared" ca="1" si="247"/>
        <v>1587.5268046286199</v>
      </c>
      <c r="L548" s="357">
        <f t="shared" ca="1" si="232"/>
        <v>1641.3125989615298</v>
      </c>
      <c r="M548" s="359">
        <f t="shared" ca="1" si="248"/>
        <v>1.2550920662071554</v>
      </c>
      <c r="N548" s="357">
        <f t="shared" ca="1" si="249"/>
        <v>71.911478294024093</v>
      </c>
      <c r="O548" s="343"/>
      <c r="P548" s="363">
        <f t="shared" ca="1" si="250"/>
        <v>23</v>
      </c>
      <c r="Q548" s="357">
        <f t="shared" ca="1" si="251"/>
        <v>0</v>
      </c>
      <c r="R548" s="359">
        <f t="shared" ca="1" si="252"/>
        <v>0</v>
      </c>
      <c r="S548" s="360">
        <f t="shared" ca="1" si="253"/>
        <v>10.637999999999975</v>
      </c>
      <c r="T548" s="357">
        <f t="shared" ca="1" si="233"/>
        <v>104.35877999999975</v>
      </c>
      <c r="U548" s="364">
        <f t="shared" ca="1" si="234"/>
        <v>0</v>
      </c>
      <c r="V548" s="359">
        <f t="shared" ca="1" si="235"/>
        <v>1.0448292603622304</v>
      </c>
      <c r="W548" s="357">
        <f t="shared" ca="1" si="236"/>
        <v>58.773487538479642</v>
      </c>
      <c r="X548" s="343"/>
      <c r="Y548" s="367" t="str">
        <f t="shared" ca="1" si="254"/>
        <v/>
      </c>
      <c r="Z548" s="368" t="str">
        <f t="shared" ca="1" si="255"/>
        <v/>
      </c>
      <c r="AA548" s="369" t="str">
        <f t="shared" ca="1" si="256"/>
        <v/>
      </c>
      <c r="AB548" s="344"/>
      <c r="AC548" s="363" t="e">
        <f t="shared" ca="1" si="257"/>
        <v>#N/A</v>
      </c>
      <c r="AD548" s="376" t="e">
        <f t="shared" ca="1" si="258"/>
        <v>#N/A</v>
      </c>
      <c r="AE548" s="377">
        <f t="shared" ca="1" si="237"/>
        <v>1587.5268046286199</v>
      </c>
      <c r="AF548" s="344"/>
      <c r="AG548" s="359">
        <f t="shared" ca="1" si="259"/>
        <v>-14.970269018253475</v>
      </c>
      <c r="AH548" s="357">
        <f t="shared" ca="1" si="260"/>
        <v>-5.6392406819230994</v>
      </c>
    </row>
    <row r="549" spans="1:34" x14ac:dyDescent="0.25">
      <c r="A549" s="402">
        <f t="shared" ca="1" si="238"/>
        <v>0.1</v>
      </c>
      <c r="B549" s="357">
        <f t="shared" ca="1" si="239"/>
        <v>9.4999999999999218</v>
      </c>
      <c r="C549" s="342"/>
      <c r="D549" s="359">
        <f t="shared" ca="1" si="240"/>
        <v>-1.7153924810973322</v>
      </c>
      <c r="E549" s="360">
        <f t="shared" ca="1" si="241"/>
        <v>-15.061812501734835</v>
      </c>
      <c r="F549" s="357">
        <f t="shared" ca="1" si="242"/>
        <v>15.159180954181563</v>
      </c>
      <c r="G549" s="359">
        <f t="shared" ca="1" si="243"/>
        <v>48.559988020387813</v>
      </c>
      <c r="H549" s="360">
        <f t="shared" ca="1" si="244"/>
        <v>147.68932179505978</v>
      </c>
      <c r="I549" s="357">
        <f t="shared" ca="1" si="245"/>
        <v>155.46770792941192</v>
      </c>
      <c r="J549" s="359">
        <f t="shared" ca="1" si="246"/>
        <v>421.59673446532446</v>
      </c>
      <c r="K549" s="360">
        <f t="shared" ca="1" si="247"/>
        <v>1602.3710458706346</v>
      </c>
      <c r="L549" s="357">
        <f t="shared" ca="1" si="232"/>
        <v>1656.9057834277653</v>
      </c>
      <c r="M549" s="359">
        <f t="shared" ca="1" si="248"/>
        <v>1.2531329007469316</v>
      </c>
      <c r="N549" s="357">
        <f t="shared" ca="1" si="249"/>
        <v>71.799226381785473</v>
      </c>
      <c r="O549" s="343"/>
      <c r="P549" s="363">
        <f t="shared" ca="1" si="250"/>
        <v>23</v>
      </c>
      <c r="Q549" s="357">
        <f t="shared" ca="1" si="251"/>
        <v>0</v>
      </c>
      <c r="R549" s="359">
        <f t="shared" ca="1" si="252"/>
        <v>0</v>
      </c>
      <c r="S549" s="360">
        <f t="shared" ca="1" si="253"/>
        <v>10.637999999999975</v>
      </c>
      <c r="T549" s="357">
        <f t="shared" ca="1" si="233"/>
        <v>104.35877999999975</v>
      </c>
      <c r="U549" s="364">
        <f t="shared" ca="1" si="234"/>
        <v>0</v>
      </c>
      <c r="V549" s="359">
        <f t="shared" ca="1" si="235"/>
        <v>1.0432695291157179</v>
      </c>
      <c r="W549" s="357">
        <f t="shared" ca="1" si="236"/>
        <v>57.580715526022971</v>
      </c>
      <c r="X549" s="343"/>
      <c r="Y549" s="367" t="str">
        <f t="shared" ca="1" si="254"/>
        <v/>
      </c>
      <c r="Z549" s="368" t="str">
        <f t="shared" ca="1" si="255"/>
        <v/>
      </c>
      <c r="AA549" s="369" t="str">
        <f t="shared" ca="1" si="256"/>
        <v/>
      </c>
      <c r="AB549" s="344"/>
      <c r="AC549" s="363" t="e">
        <f t="shared" ca="1" si="257"/>
        <v>#N/A</v>
      </c>
      <c r="AD549" s="376" t="e">
        <f t="shared" ca="1" si="258"/>
        <v>#N/A</v>
      </c>
      <c r="AE549" s="377">
        <f t="shared" ca="1" si="237"/>
        <v>1602.3710458706346</v>
      </c>
      <c r="AF549" s="344"/>
      <c r="AG549" s="359">
        <f t="shared" ca="1" si="259"/>
        <v>-14.850032230087129</v>
      </c>
      <c r="AH549" s="357">
        <f t="shared" ca="1" si="260"/>
        <v>-5.5248625247677925</v>
      </c>
    </row>
    <row r="550" spans="1:34" x14ac:dyDescent="0.25">
      <c r="A550" s="402">
        <f t="shared" ca="1" si="238"/>
        <v>0.1</v>
      </c>
      <c r="B550" s="357">
        <f t="shared" ca="1" si="239"/>
        <v>9.5999999999999215</v>
      </c>
      <c r="C550" s="342"/>
      <c r="D550" s="359">
        <f t="shared" ca="1" si="240"/>
        <v>-1.6906567644790125</v>
      </c>
      <c r="E550" s="360">
        <f t="shared" ca="1" si="241"/>
        <v>-14.951927770437319</v>
      </c>
      <c r="F550" s="357">
        <f t="shared" ca="1" si="242"/>
        <v>15.047207858857181</v>
      </c>
      <c r="G550" s="359">
        <f t="shared" ca="1" si="243"/>
        <v>48.390922343939913</v>
      </c>
      <c r="H550" s="360">
        <f t="shared" ca="1" si="244"/>
        <v>146.19412901801604</v>
      </c>
      <c r="I550" s="357">
        <f t="shared" ca="1" si="245"/>
        <v>153.99482044742135</v>
      </c>
      <c r="J550" s="359">
        <f t="shared" ca="1" si="246"/>
        <v>426.44427998354087</v>
      </c>
      <c r="K550" s="360">
        <f t="shared" ca="1" si="247"/>
        <v>1617.0652184112885</v>
      </c>
      <c r="L550" s="357">
        <f t="shared" ca="1" si="232"/>
        <v>1672.3500364834597</v>
      </c>
      <c r="M550" s="359">
        <f t="shared" ca="1" si="248"/>
        <v>1.2511431368099153</v>
      </c>
      <c r="N550" s="357">
        <f t="shared" ca="1" si="249"/>
        <v>71.685221305967104</v>
      </c>
      <c r="O550" s="343"/>
      <c r="P550" s="363">
        <f t="shared" ca="1" si="250"/>
        <v>23</v>
      </c>
      <c r="Q550" s="357">
        <f t="shared" ca="1" si="251"/>
        <v>0</v>
      </c>
      <c r="R550" s="359">
        <f t="shared" ca="1" si="252"/>
        <v>0</v>
      </c>
      <c r="S550" s="360">
        <f t="shared" ca="1" si="253"/>
        <v>10.637999999999975</v>
      </c>
      <c r="T550" s="357">
        <f t="shared" ca="1" si="233"/>
        <v>104.35877999999975</v>
      </c>
      <c r="U550" s="364">
        <f t="shared" ca="1" si="234"/>
        <v>0</v>
      </c>
      <c r="V550" s="359">
        <f t="shared" ca="1" si="235"/>
        <v>1.0417276757932259</v>
      </c>
      <c r="W550" s="357">
        <f t="shared" ca="1" si="236"/>
        <v>56.411360316532495</v>
      </c>
      <c r="X550" s="343"/>
      <c r="Y550" s="367" t="str">
        <f t="shared" ca="1" si="254"/>
        <v/>
      </c>
      <c r="Z550" s="368" t="str">
        <f t="shared" ca="1" si="255"/>
        <v/>
      </c>
      <c r="AA550" s="369" t="str">
        <f t="shared" ca="1" si="256"/>
        <v/>
      </c>
      <c r="AB550" s="344"/>
      <c r="AC550" s="363" t="e">
        <f t="shared" ca="1" si="257"/>
        <v>#N/A</v>
      </c>
      <c r="AD550" s="376" t="e">
        <f t="shared" ca="1" si="258"/>
        <v>#N/A</v>
      </c>
      <c r="AE550" s="377">
        <f t="shared" ca="1" si="237"/>
        <v>1617.0652184112885</v>
      </c>
      <c r="AF550" s="344"/>
      <c r="AG550" s="359">
        <f t="shared" ca="1" si="259"/>
        <v>-14.731923269970601</v>
      </c>
      <c r="AH550" s="357">
        <f t="shared" ca="1" si="260"/>
        <v>-5.4127388161330234</v>
      </c>
    </row>
    <row r="551" spans="1:34" x14ac:dyDescent="0.25">
      <c r="A551" s="402">
        <f t="shared" ca="1" si="238"/>
        <v>0.1</v>
      </c>
      <c r="B551" s="357">
        <f t="shared" ca="1" si="239"/>
        <v>9.6999999999999211</v>
      </c>
      <c r="C551" s="342"/>
      <c r="D551" s="359">
        <f t="shared" ca="1" si="240"/>
        <v>-1.6663428898731305</v>
      </c>
      <c r="E551" s="360">
        <f t="shared" ca="1" si="241"/>
        <v>-14.84419930082969</v>
      </c>
      <c r="F551" s="357">
        <f t="shared" ca="1" si="242"/>
        <v>14.937434569208442</v>
      </c>
      <c r="G551" s="359">
        <f t="shared" ca="1" si="243"/>
        <v>48.224288054952602</v>
      </c>
      <c r="H551" s="360">
        <f t="shared" ca="1" si="244"/>
        <v>144.70970908793308</v>
      </c>
      <c r="I551" s="357">
        <f t="shared" ca="1" si="245"/>
        <v>152.53354340184086</v>
      </c>
      <c r="J551" s="359">
        <f t="shared" ca="1" si="246"/>
        <v>431.27504050348551</v>
      </c>
      <c r="K551" s="360">
        <f t="shared" ca="1" si="247"/>
        <v>1631.610410316586</v>
      </c>
      <c r="L551" s="357">
        <f t="shared" ca="1" si="232"/>
        <v>1687.6464948604437</v>
      </c>
      <c r="M551" s="359">
        <f t="shared" ca="1" si="248"/>
        <v>1.2491221581391521</v>
      </c>
      <c r="N551" s="357">
        <f t="shared" ca="1" si="249"/>
        <v>71.569427757646409</v>
      </c>
      <c r="O551" s="343"/>
      <c r="P551" s="363">
        <f t="shared" ca="1" si="250"/>
        <v>23</v>
      </c>
      <c r="Q551" s="357">
        <f t="shared" ca="1" si="251"/>
        <v>0</v>
      </c>
      <c r="R551" s="359">
        <f t="shared" ca="1" si="252"/>
        <v>0</v>
      </c>
      <c r="S551" s="360">
        <f t="shared" ca="1" si="253"/>
        <v>10.637999999999975</v>
      </c>
      <c r="T551" s="357">
        <f t="shared" ca="1" si="233"/>
        <v>104.35877999999975</v>
      </c>
      <c r="U551" s="364">
        <f t="shared" ca="1" si="234"/>
        <v>0</v>
      </c>
      <c r="V551" s="359">
        <f t="shared" ca="1" si="235"/>
        <v>1.040203517932758</v>
      </c>
      <c r="W551" s="357">
        <f t="shared" ca="1" si="236"/>
        <v>55.264873370351708</v>
      </c>
      <c r="X551" s="343"/>
      <c r="Y551" s="367" t="str">
        <f t="shared" ca="1" si="254"/>
        <v/>
      </c>
      <c r="Z551" s="368" t="str">
        <f t="shared" ca="1" si="255"/>
        <v/>
      </c>
      <c r="AA551" s="369" t="str">
        <f t="shared" ca="1" si="256"/>
        <v/>
      </c>
      <c r="AB551" s="344"/>
      <c r="AC551" s="363" t="e">
        <f t="shared" ca="1" si="257"/>
        <v>#N/A</v>
      </c>
      <c r="AD551" s="376" t="e">
        <f t="shared" ca="1" si="258"/>
        <v>#N/A</v>
      </c>
      <c r="AE551" s="377">
        <f t="shared" ca="1" si="237"/>
        <v>1631.610410316586</v>
      </c>
      <c r="AF551" s="344"/>
      <c r="AG551" s="359">
        <f t="shared" ca="1" si="259"/>
        <v>-14.615885460286307</v>
      </c>
      <c r="AH551" s="357">
        <f t="shared" ca="1" si="260"/>
        <v>-5.3028163486118283</v>
      </c>
    </row>
    <row r="552" spans="1:34" x14ac:dyDescent="0.25">
      <c r="A552" s="402">
        <f t="shared" ca="1" si="238"/>
        <v>0.1</v>
      </c>
      <c r="B552" s="357">
        <f t="shared" ca="1" si="239"/>
        <v>9.7999999999999208</v>
      </c>
      <c r="C552" s="342"/>
      <c r="D552" s="359">
        <f t="shared" ca="1" si="240"/>
        <v>-1.6424405505390702</v>
      </c>
      <c r="E552" s="360">
        <f t="shared" ca="1" si="241"/>
        <v>-14.738576529567331</v>
      </c>
      <c r="F552" s="357">
        <f t="shared" ca="1" si="242"/>
        <v>14.829809475511412</v>
      </c>
      <c r="G552" s="359">
        <f t="shared" ca="1" si="243"/>
        <v>48.060043999898696</v>
      </c>
      <c r="H552" s="360">
        <f t="shared" ca="1" si="244"/>
        <v>143.23585143497635</v>
      </c>
      <c r="I552" s="357">
        <f t="shared" ca="1" si="245"/>
        <v>151.08367537750337</v>
      </c>
      <c r="J552" s="359">
        <f t="shared" ca="1" si="246"/>
        <v>436.0892571062281</v>
      </c>
      <c r="K552" s="360">
        <f t="shared" ca="1" si="247"/>
        <v>1646.0076883427314</v>
      </c>
      <c r="L552" s="357">
        <f t="shared" ca="1" si="232"/>
        <v>1702.7962738527601</v>
      </c>
      <c r="M552" s="359">
        <f t="shared" ca="1" si="248"/>
        <v>1.2470693316799712</v>
      </c>
      <c r="N552" s="357">
        <f t="shared" ca="1" si="249"/>
        <v>71.45180946546256</v>
      </c>
      <c r="O552" s="343"/>
      <c r="P552" s="363">
        <f t="shared" ca="1" si="250"/>
        <v>23</v>
      </c>
      <c r="Q552" s="357">
        <f t="shared" ca="1" si="251"/>
        <v>0</v>
      </c>
      <c r="R552" s="359">
        <f t="shared" ca="1" si="252"/>
        <v>0</v>
      </c>
      <c r="S552" s="360">
        <f t="shared" ca="1" si="253"/>
        <v>10.637999999999975</v>
      </c>
      <c r="T552" s="357">
        <f t="shared" ca="1" si="233"/>
        <v>104.35877999999975</v>
      </c>
      <c r="U552" s="364">
        <f t="shared" ca="1" si="234"/>
        <v>0</v>
      </c>
      <c r="V552" s="359">
        <f t="shared" ca="1" si="235"/>
        <v>1.0386968768327898</v>
      </c>
      <c r="W552" s="357">
        <f t="shared" ca="1" si="236"/>
        <v>54.140722990386003</v>
      </c>
      <c r="X552" s="343"/>
      <c r="Y552" s="367" t="str">
        <f t="shared" ca="1" si="254"/>
        <v/>
      </c>
      <c r="Z552" s="368" t="str">
        <f t="shared" ca="1" si="255"/>
        <v/>
      </c>
      <c r="AA552" s="369" t="str">
        <f t="shared" ca="1" si="256"/>
        <v/>
      </c>
      <c r="AB552" s="344"/>
      <c r="AC552" s="363" t="e">
        <f t="shared" ca="1" si="257"/>
        <v>#N/A</v>
      </c>
      <c r="AD552" s="376" t="e">
        <f t="shared" ca="1" si="258"/>
        <v>#N/A</v>
      </c>
      <c r="AE552" s="377">
        <f t="shared" ca="1" si="237"/>
        <v>1646.0076883427314</v>
      </c>
      <c r="AF552" s="344"/>
      <c r="AG552" s="359">
        <f t="shared" ca="1" si="259"/>
        <v>-14.501863648173547</v>
      </c>
      <c r="AH552" s="357">
        <f t="shared" ca="1" si="260"/>
        <v>-5.1950435580326975</v>
      </c>
    </row>
    <row r="553" spans="1:34" x14ac:dyDescent="0.25">
      <c r="A553" s="402">
        <f t="shared" ca="1" si="238"/>
        <v>0.1</v>
      </c>
      <c r="B553" s="357">
        <f t="shared" ca="1" si="239"/>
        <v>9.8999999999999204</v>
      </c>
      <c r="C553" s="342"/>
      <c r="D553" s="359">
        <f t="shared" ca="1" si="240"/>
        <v>-1.6189397550394697</v>
      </c>
      <c r="E553" s="360">
        <f t="shared" ca="1" si="241"/>
        <v>-14.63501044392509</v>
      </c>
      <c r="F553" s="357">
        <f t="shared" ca="1" si="242"/>
        <v>14.724282550407803</v>
      </c>
      <c r="G553" s="359">
        <f t="shared" ca="1" si="243"/>
        <v>47.898150024394752</v>
      </c>
      <c r="H553" s="360">
        <f t="shared" ca="1" si="244"/>
        <v>141.77235039058385</v>
      </c>
      <c r="I553" s="357">
        <f t="shared" ca="1" si="245"/>
        <v>149.64502033489089</v>
      </c>
      <c r="J553" s="359">
        <f t="shared" ca="1" si="246"/>
        <v>440.88716680744278</v>
      </c>
      <c r="K553" s="360">
        <f t="shared" ca="1" si="247"/>
        <v>1660.2580984340093</v>
      </c>
      <c r="L553" s="357">
        <f t="shared" ca="1" si="232"/>
        <v>1717.8004678283232</v>
      </c>
      <c r="M553" s="359">
        <f t="shared" ca="1" si="248"/>
        <v>1.2449840070375828</v>
      </c>
      <c r="N553" s="357">
        <f t="shared" ca="1" si="249"/>
        <v>71.332329164539075</v>
      </c>
      <c r="O553" s="343"/>
      <c r="P553" s="363">
        <f t="shared" ca="1" si="250"/>
        <v>23</v>
      </c>
      <c r="Q553" s="357">
        <f t="shared" ca="1" si="251"/>
        <v>0</v>
      </c>
      <c r="R553" s="359">
        <f t="shared" ca="1" si="252"/>
        <v>0</v>
      </c>
      <c r="S553" s="360">
        <f t="shared" ca="1" si="253"/>
        <v>10.637999999999975</v>
      </c>
      <c r="T553" s="357">
        <f t="shared" ca="1" si="233"/>
        <v>104.35877999999975</v>
      </c>
      <c r="U553" s="364">
        <f t="shared" ca="1" si="234"/>
        <v>0</v>
      </c>
      <c r="V553" s="359">
        <f t="shared" ca="1" si="235"/>
        <v>1.0372075774592269</v>
      </c>
      <c r="W553" s="357">
        <f t="shared" ca="1" si="236"/>
        <v>53.038393711246222</v>
      </c>
      <c r="X553" s="343"/>
      <c r="Y553" s="367" t="str">
        <f t="shared" ca="1" si="254"/>
        <v/>
      </c>
      <c r="Z553" s="368" t="str">
        <f t="shared" ca="1" si="255"/>
        <v/>
      </c>
      <c r="AA553" s="369" t="str">
        <f t="shared" ca="1" si="256"/>
        <v/>
      </c>
      <c r="AB553" s="344"/>
      <c r="AC553" s="363" t="e">
        <f t="shared" ca="1" si="257"/>
        <v>#N/A</v>
      </c>
      <c r="AD553" s="376" t="e">
        <f t="shared" ca="1" si="258"/>
        <v>#N/A</v>
      </c>
      <c r="AE553" s="377">
        <f t="shared" ca="1" si="237"/>
        <v>1660.2580984340093</v>
      </c>
      <c r="AF553" s="344"/>
      <c r="AG553" s="359">
        <f t="shared" ca="1" si="259"/>
        <v>-14.38980414080849</v>
      </c>
      <c r="AH553" s="357">
        <f t="shared" ca="1" si="260"/>
        <v>-5.0893704634692734</v>
      </c>
    </row>
    <row r="554" spans="1:34" x14ac:dyDescent="0.25">
      <c r="A554" s="402">
        <f t="shared" ca="1" si="238"/>
        <v>0.1</v>
      </c>
      <c r="B554" s="357">
        <f t="shared" ca="1" si="239"/>
        <v>9.9999999999999201</v>
      </c>
      <c r="C554" s="342"/>
      <c r="D554" s="359">
        <f t="shared" ca="1" si="240"/>
        <v>-1.595830815903944</v>
      </c>
      <c r="E554" s="360">
        <f t="shared" ca="1" si="241"/>
        <v>-14.533453525474322</v>
      </c>
      <c r="F554" s="357">
        <f t="shared" ca="1" si="242"/>
        <v>14.620805291436946</v>
      </c>
      <c r="G554" s="359">
        <f t="shared" ca="1" si="243"/>
        <v>47.738566942804361</v>
      </c>
      <c r="H554" s="360">
        <f t="shared" ca="1" si="244"/>
        <v>140.31900503803641</v>
      </c>
      <c r="I554" s="357">
        <f t="shared" ca="1" si="245"/>
        <v>148.21738747062403</v>
      </c>
      <c r="J554" s="359">
        <f t="shared" ca="1" si="246"/>
        <v>445.66900265580273</v>
      </c>
      <c r="K554" s="360">
        <f t="shared" ca="1" si="247"/>
        <v>1674.3626662054403</v>
      </c>
      <c r="L554" s="357">
        <f t="shared" ca="1" si="232"/>
        <v>1732.6601507251237</v>
      </c>
      <c r="M554" s="359">
        <f t="shared" ca="1" si="248"/>
        <v>1.2428655159143875</v>
      </c>
      <c r="N554" s="357">
        <f t="shared" ca="1" si="249"/>
        <v>71.210948564244063</v>
      </c>
      <c r="O554" s="343"/>
      <c r="P554" s="363">
        <f t="shared" ca="1" si="250"/>
        <v>23</v>
      </c>
      <c r="Q554" s="357">
        <f t="shared" ca="1" si="251"/>
        <v>0</v>
      </c>
      <c r="R554" s="359">
        <f t="shared" ca="1" si="252"/>
        <v>0</v>
      </c>
      <c r="S554" s="360">
        <f t="shared" ca="1" si="253"/>
        <v>10.637999999999975</v>
      </c>
      <c r="T554" s="357">
        <f t="shared" ca="1" si="233"/>
        <v>104.35877999999975</v>
      </c>
      <c r="U554" s="364">
        <f t="shared" ca="1" si="234"/>
        <v>0</v>
      </c>
      <c r="V554" s="359">
        <f t="shared" ca="1" si="235"/>
        <v>1.0357354483553309</v>
      </c>
      <c r="W554" s="357">
        <f t="shared" ca="1" si="236"/>
        <v>51.957385714380983</v>
      </c>
      <c r="X554" s="343"/>
      <c r="Y554" s="367" t="str">
        <f t="shared" ca="1" si="254"/>
        <v/>
      </c>
      <c r="Z554" s="368" t="str">
        <f t="shared" ca="1" si="255"/>
        <v/>
      </c>
      <c r="AA554" s="369" t="str">
        <f t="shared" ca="1" si="256"/>
        <v/>
      </c>
      <c r="AB554" s="344"/>
      <c r="AC554" s="363">
        <f t="shared" ca="1" si="257"/>
        <v>9.9999999999999201</v>
      </c>
      <c r="AD554" s="376">
        <f t="shared" ca="1" si="258"/>
        <v>445.66900265580273</v>
      </c>
      <c r="AE554" s="377">
        <f t="shared" ca="1" si="237"/>
        <v>1674.3626662054403</v>
      </c>
      <c r="AF554" s="344"/>
      <c r="AG554" s="359">
        <f t="shared" ca="1" si="259"/>
        <v>-14.279654643037265</v>
      </c>
      <c r="AH554" s="357">
        <f t="shared" ca="1" si="260"/>
        <v>-4.9857486098182315</v>
      </c>
    </row>
    <row r="555" spans="1:34" x14ac:dyDescent="0.25">
      <c r="A555" s="402">
        <f t="shared" ca="1" si="238"/>
        <v>0.1</v>
      </c>
      <c r="B555" s="357">
        <f t="shared" ca="1" si="239"/>
        <v>10.09999999999992</v>
      </c>
      <c r="C555" s="342"/>
      <c r="D555" s="359">
        <f t="shared" ca="1" si="240"/>
        <v>-1.5731043387818091</v>
      </c>
      <c r="E555" s="360">
        <f t="shared" ca="1" si="241"/>
        <v>-14.433859696151881</v>
      </c>
      <c r="F555" s="357">
        <f t="shared" ca="1" si="242"/>
        <v>14.519330666008397</v>
      </c>
      <c r="G555" s="359">
        <f t="shared" ca="1" si="243"/>
        <v>47.581256508926181</v>
      </c>
      <c r="H555" s="360">
        <f t="shared" ca="1" si="244"/>
        <v>138.87561906842123</v>
      </c>
      <c r="I555" s="357">
        <f t="shared" ca="1" si="245"/>
        <v>146.8005910839785</v>
      </c>
      <c r="J555" s="359">
        <f t="shared" ca="1" si="246"/>
        <v>450.43499382838928</v>
      </c>
      <c r="K555" s="360">
        <f t="shared" ca="1" si="247"/>
        <v>1688.3223974107632</v>
      </c>
      <c r="L555" s="357">
        <f t="shared" ca="1" si="232"/>
        <v>1747.3763765325455</v>
      </c>
      <c r="M555" s="359">
        <f t="shared" ca="1" si="248"/>
        <v>1.2407131715261717</v>
      </c>
      <c r="N555" s="357">
        <f t="shared" ca="1" si="249"/>
        <v>71.087628314740627</v>
      </c>
      <c r="O555" s="343"/>
      <c r="P555" s="363">
        <f t="shared" ca="1" si="250"/>
        <v>23</v>
      </c>
      <c r="Q555" s="357">
        <f t="shared" ca="1" si="251"/>
        <v>0</v>
      </c>
      <c r="R555" s="359">
        <f t="shared" ca="1" si="252"/>
        <v>0</v>
      </c>
      <c r="S555" s="360">
        <f t="shared" ca="1" si="253"/>
        <v>10.637999999999975</v>
      </c>
      <c r="T555" s="357">
        <f t="shared" ca="1" si="233"/>
        <v>104.35877999999975</v>
      </c>
      <c r="U555" s="364">
        <f t="shared" ca="1" si="234"/>
        <v>0</v>
      </c>
      <c r="V555" s="359">
        <f t="shared" ca="1" si="235"/>
        <v>1.0342803215545067</v>
      </c>
      <c r="W555" s="357">
        <f t="shared" ca="1" si="236"/>
        <v>50.897214267940797</v>
      </c>
      <c r="X555" s="343"/>
      <c r="Y555" s="367" t="str">
        <f t="shared" ca="1" si="254"/>
        <v/>
      </c>
      <c r="Z555" s="368" t="str">
        <f t="shared" ca="1" si="255"/>
        <v/>
      </c>
      <c r="AA555" s="369" t="str">
        <f t="shared" ca="1" si="256"/>
        <v/>
      </c>
      <c r="AB555" s="344"/>
      <c r="AC555" s="363" t="e">
        <f t="shared" ca="1" si="257"/>
        <v>#N/A</v>
      </c>
      <c r="AD555" s="376" t="e">
        <f t="shared" ca="1" si="258"/>
        <v>#N/A</v>
      </c>
      <c r="AE555" s="377">
        <f t="shared" ca="1" si="237"/>
        <v>1688.3223974107632</v>
      </c>
      <c r="AF555" s="344"/>
      <c r="AG555" s="359">
        <f t="shared" ca="1" si="259"/>
        <v>-14.171364197226154</v>
      </c>
      <c r="AH555" s="357">
        <f t="shared" ca="1" si="260"/>
        <v>-4.8841310128201831</v>
      </c>
    </row>
    <row r="556" spans="1:34" x14ac:dyDescent="0.25">
      <c r="A556" s="402">
        <f t="shared" ca="1" si="238"/>
        <v>0.1</v>
      </c>
      <c r="B556" s="357">
        <f t="shared" ca="1" si="239"/>
        <v>10.199999999999919</v>
      </c>
      <c r="C556" s="342"/>
      <c r="D556" s="359">
        <f t="shared" ca="1" si="240"/>
        <v>-1.5507512120605096</v>
      </c>
      <c r="E556" s="360">
        <f t="shared" ca="1" si="241"/>
        <v>-14.336184266605198</v>
      </c>
      <c r="F556" s="357">
        <f t="shared" ca="1" si="242"/>
        <v>14.419813058696896</v>
      </c>
      <c r="G556" s="359">
        <f t="shared" ca="1" si="243"/>
        <v>47.426181387720128</v>
      </c>
      <c r="H556" s="360">
        <f t="shared" ca="1" si="244"/>
        <v>137.4420006417607</v>
      </c>
      <c r="I556" s="357">
        <f t="shared" ca="1" si="245"/>
        <v>145.39445044921999</v>
      </c>
      <c r="J556" s="359">
        <f t="shared" ca="1" si="246"/>
        <v>455.18536572322159</v>
      </c>
      <c r="K556" s="360">
        <f t="shared" ca="1" si="247"/>
        <v>1702.1382783962722</v>
      </c>
      <c r="L556" s="357">
        <f t="shared" ca="1" si="232"/>
        <v>1761.9501797583293</v>
      </c>
      <c r="M556" s="359">
        <f t="shared" ca="1" si="248"/>
        <v>1.2385262679963234</v>
      </c>
      <c r="N556" s="357">
        <f t="shared" ca="1" si="249"/>
        <v>70.962327972278047</v>
      </c>
      <c r="O556" s="343"/>
      <c r="P556" s="363">
        <f t="shared" ca="1" si="250"/>
        <v>23</v>
      </c>
      <c r="Q556" s="357">
        <f t="shared" ca="1" si="251"/>
        <v>0</v>
      </c>
      <c r="R556" s="359">
        <f t="shared" ca="1" si="252"/>
        <v>0</v>
      </c>
      <c r="S556" s="360">
        <f t="shared" ca="1" si="253"/>
        <v>10.637999999999975</v>
      </c>
      <c r="T556" s="357">
        <f t="shared" ca="1" si="233"/>
        <v>104.35877999999975</v>
      </c>
      <c r="U556" s="364">
        <f t="shared" ca="1" si="234"/>
        <v>0</v>
      </c>
      <c r="V556" s="359">
        <f t="shared" ca="1" si="235"/>
        <v>1.0328420324958396</v>
      </c>
      <c r="W556" s="357">
        <f t="shared" ca="1" si="236"/>
        <v>49.857409190183738</v>
      </c>
      <c r="X556" s="343"/>
      <c r="Y556" s="367" t="str">
        <f t="shared" ca="1" si="254"/>
        <v/>
      </c>
      <c r="Z556" s="368" t="str">
        <f t="shared" ca="1" si="255"/>
        <v/>
      </c>
      <c r="AA556" s="369" t="str">
        <f t="shared" ca="1" si="256"/>
        <v/>
      </c>
      <c r="AB556" s="344"/>
      <c r="AC556" s="363" t="e">
        <f t="shared" ca="1" si="257"/>
        <v>#N/A</v>
      </c>
      <c r="AD556" s="376" t="e">
        <f t="shared" ca="1" si="258"/>
        <v>#N/A</v>
      </c>
      <c r="AE556" s="377">
        <f t="shared" ca="1" si="237"/>
        <v>1702.1382783962722</v>
      </c>
      <c r="AF556" s="344"/>
      <c r="AG556" s="359">
        <f t="shared" ca="1" si="259"/>
        <v>-14.064883125199328</v>
      </c>
      <c r="AH556" s="357">
        <f t="shared" ca="1" si="260"/>
        <v>-4.7844721064054259</v>
      </c>
    </row>
    <row r="557" spans="1:34" x14ac:dyDescent="0.25">
      <c r="A557" s="402">
        <f t="shared" ca="1" si="238"/>
        <v>0.1</v>
      </c>
      <c r="B557" s="357">
        <f t="shared" ca="1" si="239"/>
        <v>10.299999999999919</v>
      </c>
      <c r="C557" s="342"/>
      <c r="D557" s="359">
        <f t="shared" ca="1" si="240"/>
        <v>-1.5287625969277034</v>
      </c>
      <c r="E557" s="360">
        <f t="shared" ca="1" si="241"/>
        <v>-14.240383886703597</v>
      </c>
      <c r="F557" s="357">
        <f t="shared" ca="1" si="242"/>
        <v>14.322208220747687</v>
      </c>
      <c r="G557" s="359">
        <f t="shared" ca="1" si="243"/>
        <v>47.27330512802736</v>
      </c>
      <c r="H557" s="360">
        <f t="shared" ca="1" si="244"/>
        <v>136.01796225309033</v>
      </c>
      <c r="I557" s="357">
        <f t="shared" ca="1" si="245"/>
        <v>143.99878969356195</v>
      </c>
      <c r="J557" s="359">
        <f t="shared" ca="1" si="246"/>
        <v>459.92034004900898</v>
      </c>
      <c r="K557" s="360">
        <f t="shared" ca="1" si="247"/>
        <v>1715.8112765410146</v>
      </c>
      <c r="L557" s="357">
        <f t="shared" ca="1" si="232"/>
        <v>1776.3825758816995</v>
      </c>
      <c r="M557" s="359">
        <f t="shared" ca="1" si="248"/>
        <v>1.2363040797271745</v>
      </c>
      <c r="N557" s="357">
        <f t="shared" ca="1" si="249"/>
        <v>70.835005963172335</v>
      </c>
      <c r="O557" s="343"/>
      <c r="P557" s="363">
        <f t="shared" ca="1" si="250"/>
        <v>23</v>
      </c>
      <c r="Q557" s="357">
        <f t="shared" ca="1" si="251"/>
        <v>0</v>
      </c>
      <c r="R557" s="359">
        <f t="shared" ca="1" si="252"/>
        <v>0</v>
      </c>
      <c r="S557" s="360">
        <f t="shared" ca="1" si="253"/>
        <v>10.637999999999975</v>
      </c>
      <c r="T557" s="357">
        <f t="shared" ca="1" si="233"/>
        <v>104.35877999999975</v>
      </c>
      <c r="U557" s="364">
        <f t="shared" ca="1" si="234"/>
        <v>0</v>
      </c>
      <c r="V557" s="359">
        <f t="shared" ca="1" si="235"/>
        <v>1.0314204199422812</v>
      </c>
      <c r="W557" s="357">
        <f t="shared" ca="1" si="236"/>
        <v>48.837514335297442</v>
      </c>
      <c r="X557" s="343"/>
      <c r="Y557" s="367" t="str">
        <f t="shared" ca="1" si="254"/>
        <v/>
      </c>
      <c r="Z557" s="368" t="str">
        <f t="shared" ca="1" si="255"/>
        <v/>
      </c>
      <c r="AA557" s="369" t="str">
        <f t="shared" ca="1" si="256"/>
        <v/>
      </c>
      <c r="AB557" s="344"/>
      <c r="AC557" s="363" t="e">
        <f t="shared" ca="1" si="257"/>
        <v>#N/A</v>
      </c>
      <c r="AD557" s="376" t="e">
        <f t="shared" ca="1" si="258"/>
        <v>#N/A</v>
      </c>
      <c r="AE557" s="377">
        <f t="shared" ca="1" si="237"/>
        <v>1715.8112765410146</v>
      </c>
      <c r="AF557" s="344"/>
      <c r="AG557" s="359">
        <f t="shared" ca="1" si="259"/>
        <v>-13.96016297214031</v>
      </c>
      <c r="AH557" s="357">
        <f t="shared" ca="1" si="260"/>
        <v>-4.6867276922526653</v>
      </c>
    </row>
    <row r="558" spans="1:34" x14ac:dyDescent="0.25">
      <c r="A558" s="402">
        <f t="shared" ca="1" si="238"/>
        <v>0.1</v>
      </c>
      <c r="B558" s="357">
        <f t="shared" ca="1" si="239"/>
        <v>10.399999999999919</v>
      </c>
      <c r="C558" s="342"/>
      <c r="D558" s="359">
        <f t="shared" ca="1" si="240"/>
        <v>-1.5071299178561697</v>
      </c>
      <c r="E558" s="360">
        <f t="shared" ca="1" si="241"/>
        <v>-14.146416498112067</v>
      </c>
      <c r="F558" s="357">
        <f t="shared" ca="1" si="242"/>
        <v>14.226473221686197</v>
      </c>
      <c r="G558" s="359">
        <f t="shared" ca="1" si="243"/>
        <v>47.122592136241742</v>
      </c>
      <c r="H558" s="360">
        <f t="shared" ca="1" si="244"/>
        <v>134.60332060327912</v>
      </c>
      <c r="I558" s="357">
        <f t="shared" ca="1" si="245"/>
        <v>142.6134376805627</v>
      </c>
      <c r="J558" s="359">
        <f t="shared" ca="1" si="246"/>
        <v>464.64013491222244</v>
      </c>
      <c r="K558" s="360">
        <f t="shared" ca="1" si="247"/>
        <v>1729.3423406838331</v>
      </c>
      <c r="L558" s="357">
        <f t="shared" ca="1" si="232"/>
        <v>1790.6745617931492</v>
      </c>
      <c r="M558" s="359">
        <f t="shared" ca="1" si="248"/>
        <v>1.2340458607475293</v>
      </c>
      <c r="N558" s="357">
        <f t="shared" ca="1" si="249"/>
        <v>70.705619546422326</v>
      </c>
      <c r="O558" s="343"/>
      <c r="P558" s="363">
        <f t="shared" ca="1" si="250"/>
        <v>23</v>
      </c>
      <c r="Q558" s="357">
        <f t="shared" ca="1" si="251"/>
        <v>0</v>
      </c>
      <c r="R558" s="359">
        <f t="shared" ca="1" si="252"/>
        <v>0</v>
      </c>
      <c r="S558" s="360">
        <f t="shared" ca="1" si="253"/>
        <v>10.637999999999975</v>
      </c>
      <c r="T558" s="357">
        <f t="shared" ca="1" si="233"/>
        <v>104.35877999999975</v>
      </c>
      <c r="U558" s="364">
        <f t="shared" ca="1" si="234"/>
        <v>0</v>
      </c>
      <c r="V558" s="359">
        <f t="shared" ca="1" si="235"/>
        <v>1.0300153259013887</v>
      </c>
      <c r="W558" s="357">
        <f t="shared" ca="1" si="236"/>
        <v>47.837087100573022</v>
      </c>
      <c r="X558" s="343"/>
      <c r="Y558" s="367" t="str">
        <f t="shared" ca="1" si="254"/>
        <v/>
      </c>
      <c r="Z558" s="368" t="str">
        <f t="shared" ca="1" si="255"/>
        <v/>
      </c>
      <c r="AA558" s="369" t="str">
        <f t="shared" ca="1" si="256"/>
        <v/>
      </c>
      <c r="AB558" s="344"/>
      <c r="AC558" s="363" t="e">
        <f t="shared" ca="1" si="257"/>
        <v>#N/A</v>
      </c>
      <c r="AD558" s="376" t="e">
        <f t="shared" ca="1" si="258"/>
        <v>#N/A</v>
      </c>
      <c r="AE558" s="377">
        <f t="shared" ca="1" si="237"/>
        <v>1729.3423406838331</v>
      </c>
      <c r="AF558" s="344"/>
      <c r="AG558" s="359">
        <f t="shared" ca="1" si="259"/>
        <v>-13.857156452338627</v>
      </c>
      <c r="AH558" s="357">
        <f t="shared" ca="1" si="260"/>
        <v>-4.5908548914549314</v>
      </c>
    </row>
    <row r="559" spans="1:34" x14ac:dyDescent="0.25">
      <c r="A559" s="402">
        <f t="shared" ca="1" si="238"/>
        <v>0.1</v>
      </c>
      <c r="B559" s="357">
        <f t="shared" ca="1" si="239"/>
        <v>10.499999999999918</v>
      </c>
      <c r="C559" s="342"/>
      <c r="D559" s="359">
        <f t="shared" ca="1" si="240"/>
        <v>-1.4858448534918762</v>
      </c>
      <c r="E559" s="360">
        <f t="shared" ca="1" si="241"/>
        <v>-14.054241288829285</v>
      </c>
      <c r="F559" s="357">
        <f t="shared" ca="1" si="242"/>
        <v>14.132566402931994</v>
      </c>
      <c r="G559" s="359">
        <f t="shared" ca="1" si="243"/>
        <v>46.974007650892553</v>
      </c>
      <c r="H559" s="360">
        <f t="shared" ca="1" si="244"/>
        <v>133.19789647439617</v>
      </c>
      <c r="I559" s="357">
        <f t="shared" ca="1" si="245"/>
        <v>141.23822789878832</v>
      </c>
      <c r="J559" s="359">
        <f t="shared" ca="1" si="246"/>
        <v>469.34496490157915</v>
      </c>
      <c r="K559" s="360">
        <f t="shared" ca="1" si="247"/>
        <v>1742.7324015377169</v>
      </c>
      <c r="L559" s="357">
        <f t="shared" ca="1" si="232"/>
        <v>1804.8271162213523</v>
      </c>
      <c r="M559" s="359">
        <f t="shared" ca="1" si="248"/>
        <v>1.2317508440354037</v>
      </c>
      <c r="N559" s="357">
        <f t="shared" ca="1" si="249"/>
        <v>70.574124774905542</v>
      </c>
      <c r="O559" s="343"/>
      <c r="P559" s="363">
        <f t="shared" ca="1" si="250"/>
        <v>23</v>
      </c>
      <c r="Q559" s="357">
        <f t="shared" ca="1" si="251"/>
        <v>0</v>
      </c>
      <c r="R559" s="359">
        <f t="shared" ca="1" si="252"/>
        <v>0</v>
      </c>
      <c r="S559" s="360">
        <f t="shared" ca="1" si="253"/>
        <v>10.637999999999975</v>
      </c>
      <c r="T559" s="357">
        <f t="shared" ca="1" si="233"/>
        <v>104.35877999999975</v>
      </c>
      <c r="U559" s="364">
        <f t="shared" ca="1" si="234"/>
        <v>0</v>
      </c>
      <c r="V559" s="359">
        <f t="shared" ca="1" si="235"/>
        <v>1.0286265955485228</v>
      </c>
      <c r="W559" s="357">
        <f t="shared" ca="1" si="236"/>
        <v>46.85569795392162</v>
      </c>
      <c r="X559" s="343"/>
      <c r="Y559" s="367" t="str">
        <f t="shared" ca="1" si="254"/>
        <v/>
      </c>
      <c r="Z559" s="368" t="str">
        <f t="shared" ca="1" si="255"/>
        <v/>
      </c>
      <c r="AA559" s="369" t="str">
        <f t="shared" ca="1" si="256"/>
        <v/>
      </c>
      <c r="AB559" s="344"/>
      <c r="AC559" s="363" t="e">
        <f t="shared" ca="1" si="257"/>
        <v>#N/A</v>
      </c>
      <c r="AD559" s="376" t="e">
        <f t="shared" ca="1" si="258"/>
        <v>#N/A</v>
      </c>
      <c r="AE559" s="377">
        <f t="shared" ca="1" si="237"/>
        <v>1742.7324015377169</v>
      </c>
      <c r="AF559" s="344"/>
      <c r="AG559" s="359">
        <f t="shared" ca="1" si="259"/>
        <v>-13.755817396668354</v>
      </c>
      <c r="AH559" s="357">
        <f t="shared" ca="1" si="260"/>
        <v>-4.4968120981926241</v>
      </c>
    </row>
    <row r="560" spans="1:34" x14ac:dyDescent="0.25">
      <c r="A560" s="402">
        <f t="shared" ca="1" si="238"/>
        <v>0.1</v>
      </c>
      <c r="B560" s="357">
        <f t="shared" ca="1" si="239"/>
        <v>10.599999999999918</v>
      </c>
      <c r="C560" s="342"/>
      <c r="D560" s="359">
        <f t="shared" ca="1" si="240"/>
        <v>-1.4648993279265643</v>
      </c>
      <c r="E560" s="360">
        <f t="shared" ca="1" si="241"/>
        <v>-13.963818649596689</v>
      </c>
      <c r="F560" s="357">
        <f t="shared" ca="1" si="242"/>
        <v>14.040447333321827</v>
      </c>
      <c r="G560" s="359">
        <f t="shared" ca="1" si="243"/>
        <v>46.827517718099898</v>
      </c>
      <c r="H560" s="360">
        <f t="shared" ca="1" si="244"/>
        <v>131.80151460943651</v>
      </c>
      <c r="I560" s="357">
        <f t="shared" ca="1" si="245"/>
        <v>139.87299835558136</v>
      </c>
      <c r="J560" s="359">
        <f t="shared" ca="1" si="246"/>
        <v>474.03504117002876</v>
      </c>
      <c r="K560" s="360">
        <f t="shared" ca="1" si="247"/>
        <v>1755.9823720919085</v>
      </c>
      <c r="L560" s="357">
        <f t="shared" ca="1" si="232"/>
        <v>1818.8412001476645</v>
      </c>
      <c r="M560" s="359">
        <f t="shared" ca="1" si="248"/>
        <v>1.2294182408149608</v>
      </c>
      <c r="N560" s="357">
        <f t="shared" ca="1" si="249"/>
        <v>70.440476455095535</v>
      </c>
      <c r="O560" s="343"/>
      <c r="P560" s="363">
        <f t="shared" ca="1" si="250"/>
        <v>23</v>
      </c>
      <c r="Q560" s="357">
        <f t="shared" ca="1" si="251"/>
        <v>0</v>
      </c>
      <c r="R560" s="359">
        <f t="shared" ca="1" si="252"/>
        <v>0</v>
      </c>
      <c r="S560" s="360">
        <f t="shared" ca="1" si="253"/>
        <v>10.637999999999975</v>
      </c>
      <c r="T560" s="357">
        <f t="shared" ca="1" si="233"/>
        <v>104.35877999999975</v>
      </c>
      <c r="U560" s="364">
        <f t="shared" ca="1" si="234"/>
        <v>0</v>
      </c>
      <c r="V560" s="359">
        <f t="shared" ca="1" si="235"/>
        <v>1.0272540771524119</v>
      </c>
      <c r="W560" s="357">
        <f t="shared" ca="1" si="236"/>
        <v>45.892929980780124</v>
      </c>
      <c r="X560" s="343"/>
      <c r="Y560" s="367" t="str">
        <f t="shared" ca="1" si="254"/>
        <v/>
      </c>
      <c r="Z560" s="368" t="str">
        <f t="shared" ca="1" si="255"/>
        <v/>
      </c>
      <c r="AA560" s="369" t="str">
        <f t="shared" ca="1" si="256"/>
        <v/>
      </c>
      <c r="AB560" s="344"/>
      <c r="AC560" s="363" t="e">
        <f t="shared" ca="1" si="257"/>
        <v>#N/A</v>
      </c>
      <c r="AD560" s="376" t="e">
        <f t="shared" ca="1" si="258"/>
        <v>#N/A</v>
      </c>
      <c r="AE560" s="377">
        <f t="shared" ca="1" si="237"/>
        <v>1755.9823720919085</v>
      </c>
      <c r="AF560" s="344"/>
      <c r="AG560" s="359">
        <f t="shared" ca="1" si="259"/>
        <v>-13.656100701689551</v>
      </c>
      <c r="AH560" s="357">
        <f t="shared" ca="1" si="260"/>
        <v>-4.4045589353188319</v>
      </c>
    </row>
    <row r="561" spans="1:34" x14ac:dyDescent="0.25">
      <c r="A561" s="402">
        <f t="shared" ca="1" si="238"/>
        <v>0.1</v>
      </c>
      <c r="B561" s="357">
        <f t="shared" ca="1" si="239"/>
        <v>10.699999999999918</v>
      </c>
      <c r="C561" s="342"/>
      <c r="D561" s="359">
        <f t="shared" ca="1" si="240"/>
        <v>-1.4442855023372694</v>
      </c>
      <c r="E561" s="360">
        <f t="shared" ca="1" si="241"/>
        <v>-13.875110132090663</v>
      </c>
      <c r="F561" s="357">
        <f t="shared" ca="1" si="242"/>
        <v>13.950076766452097</v>
      </c>
      <c r="G561" s="359">
        <f t="shared" ca="1" si="243"/>
        <v>46.683089167866171</v>
      </c>
      <c r="H561" s="360">
        <f t="shared" ca="1" si="244"/>
        <v>130.41400359622745</v>
      </c>
      <c r="I561" s="357">
        <f t="shared" ca="1" si="245"/>
        <v>138.5175914757825</v>
      </c>
      <c r="J561" s="359">
        <f t="shared" ca="1" si="246"/>
        <v>478.71057151432706</v>
      </c>
      <c r="K561" s="360">
        <f t="shared" ca="1" si="247"/>
        <v>1769.0931480021916</v>
      </c>
      <c r="L561" s="357">
        <f t="shared" ca="1" si="232"/>
        <v>1832.7177572086428</v>
      </c>
      <c r="M561" s="359">
        <f t="shared" ca="1" si="248"/>
        <v>1.2270472398265839</v>
      </c>
      <c r="N561" s="357">
        <f t="shared" ca="1" si="249"/>
        <v>70.304628105240198</v>
      </c>
      <c r="O561" s="343"/>
      <c r="P561" s="363">
        <f t="shared" ca="1" si="250"/>
        <v>23</v>
      </c>
      <c r="Q561" s="357">
        <f t="shared" ca="1" si="251"/>
        <v>0</v>
      </c>
      <c r="R561" s="359">
        <f t="shared" ca="1" si="252"/>
        <v>0</v>
      </c>
      <c r="S561" s="360">
        <f t="shared" ca="1" si="253"/>
        <v>10.637999999999975</v>
      </c>
      <c r="T561" s="357">
        <f t="shared" ca="1" si="233"/>
        <v>104.35877999999975</v>
      </c>
      <c r="U561" s="364">
        <f t="shared" ca="1" si="234"/>
        <v>0</v>
      </c>
      <c r="V561" s="359">
        <f t="shared" ca="1" si="235"/>
        <v>1.0258976220030032</v>
      </c>
      <c r="W561" s="357">
        <f t="shared" ca="1" si="236"/>
        <v>44.948378449500439</v>
      </c>
      <c r="X561" s="343"/>
      <c r="Y561" s="367" t="str">
        <f t="shared" ca="1" si="254"/>
        <v/>
      </c>
      <c r="Z561" s="368" t="str">
        <f t="shared" ca="1" si="255"/>
        <v/>
      </c>
      <c r="AA561" s="369" t="str">
        <f t="shared" ca="1" si="256"/>
        <v/>
      </c>
      <c r="AB561" s="344"/>
      <c r="AC561" s="363" t="e">
        <f t="shared" ca="1" si="257"/>
        <v>#N/A</v>
      </c>
      <c r="AD561" s="376" t="e">
        <f t="shared" ca="1" si="258"/>
        <v>#N/A</v>
      </c>
      <c r="AE561" s="377">
        <f t="shared" ca="1" si="237"/>
        <v>1769.0931480021916</v>
      </c>
      <c r="AF561" s="344"/>
      <c r="AG561" s="359">
        <f t="shared" ca="1" si="259"/>
        <v>-13.557962280268152</v>
      </c>
      <c r="AH561" s="357">
        <f t="shared" ca="1" si="260"/>
        <v>-4.3140562117672712</v>
      </c>
    </row>
    <row r="562" spans="1:34" x14ac:dyDescent="0.25">
      <c r="A562" s="402">
        <f t="shared" ca="1" si="238"/>
        <v>0.1</v>
      </c>
      <c r="B562" s="357">
        <f t="shared" ca="1" si="239"/>
        <v>10.799999999999917</v>
      </c>
      <c r="C562" s="342"/>
      <c r="D562" s="359">
        <f t="shared" ca="1" si="240"/>
        <v>-1.4239957669760945</v>
      </c>
      <c r="E562" s="360">
        <f t="shared" ca="1" si="241"/>
        <v>-13.788078408814126</v>
      </c>
      <c r="F562" s="357">
        <f t="shared" ca="1" si="242"/>
        <v>13.861416599755312</v>
      </c>
      <c r="G562" s="359">
        <f t="shared" ca="1" si="243"/>
        <v>46.540689591168565</v>
      </c>
      <c r="H562" s="360">
        <f t="shared" ca="1" si="244"/>
        <v>129.03519575534602</v>
      </c>
      <c r="I562" s="357">
        <f t="shared" ca="1" si="245"/>
        <v>137.17185400526586</v>
      </c>
      <c r="J562" s="359">
        <f t="shared" ca="1" si="246"/>
        <v>483.37176045227881</v>
      </c>
      <c r="K562" s="360">
        <f t="shared" ca="1" si="247"/>
        <v>1782.0656079697703</v>
      </c>
      <c r="L562" s="357">
        <f t="shared" ca="1" si="232"/>
        <v>1846.4577140870035</v>
      </c>
      <c r="M562" s="359">
        <f t="shared" ca="1" si="248"/>
        <v>1.2246370065689833</v>
      </c>
      <c r="N562" s="357">
        <f t="shared" ca="1" si="249"/>
        <v>70.166531911937611</v>
      </c>
      <c r="O562" s="343"/>
      <c r="P562" s="363">
        <f t="shared" ca="1" si="250"/>
        <v>23</v>
      </c>
      <c r="Q562" s="357">
        <f t="shared" ca="1" si="251"/>
        <v>0</v>
      </c>
      <c r="R562" s="359">
        <f t="shared" ca="1" si="252"/>
        <v>0</v>
      </c>
      <c r="S562" s="360">
        <f t="shared" ca="1" si="253"/>
        <v>10.637999999999975</v>
      </c>
      <c r="T562" s="357">
        <f t="shared" ca="1" si="233"/>
        <v>104.35877999999975</v>
      </c>
      <c r="U562" s="364">
        <f t="shared" ca="1" si="234"/>
        <v>0</v>
      </c>
      <c r="V562" s="359">
        <f t="shared" ca="1" si="235"/>
        <v>1.0245570843415122</v>
      </c>
      <c r="W562" s="357">
        <f t="shared" ca="1" si="236"/>
        <v>44.02165039436634</v>
      </c>
      <c r="X562" s="343"/>
      <c r="Y562" s="367" t="str">
        <f t="shared" ca="1" si="254"/>
        <v/>
      </c>
      <c r="Z562" s="368" t="str">
        <f t="shared" ca="1" si="255"/>
        <v/>
      </c>
      <c r="AA562" s="369" t="str">
        <f t="shared" ca="1" si="256"/>
        <v/>
      </c>
      <c r="AB562" s="344"/>
      <c r="AC562" s="363" t="e">
        <f t="shared" ca="1" si="257"/>
        <v>#N/A</v>
      </c>
      <c r="AD562" s="376" t="e">
        <f t="shared" ca="1" si="258"/>
        <v>#N/A</v>
      </c>
      <c r="AE562" s="377">
        <f t="shared" ca="1" si="237"/>
        <v>1782.0656079697703</v>
      </c>
      <c r="AF562" s="344"/>
      <c r="AG562" s="359">
        <f t="shared" ca="1" si="259"/>
        <v>-13.461359013613524</v>
      </c>
      <c r="AH562" s="357">
        <f t="shared" ca="1" si="260"/>
        <v>-4.2252658816977391</v>
      </c>
    </row>
    <row r="563" spans="1:34" x14ac:dyDescent="0.25">
      <c r="A563" s="402">
        <f t="shared" ca="1" si="238"/>
        <v>0.1</v>
      </c>
      <c r="B563" s="357">
        <f t="shared" ca="1" si="239"/>
        <v>10.899999999999917</v>
      </c>
      <c r="C563" s="342"/>
      <c r="D563" s="359">
        <f t="shared" ca="1" si="240"/>
        <v>-1.4040227334945157</v>
      </c>
      <c r="E563" s="360">
        <f t="shared" ca="1" si="241"/>
        <v>-13.70268723460855</v>
      </c>
      <c r="F563" s="357">
        <f t="shared" ca="1" si="242"/>
        <v>13.77442983522997</v>
      </c>
      <c r="G563" s="359">
        <f t="shared" ca="1" si="243"/>
        <v>46.400287317819114</v>
      </c>
      <c r="H563" s="360">
        <f t="shared" ca="1" si="244"/>
        <v>127.66492703188517</v>
      </c>
      <c r="I563" s="357">
        <f t="shared" ca="1" si="245"/>
        <v>135.83563691915583</v>
      </c>
      <c r="J563" s="359">
        <f t="shared" ca="1" si="246"/>
        <v>488.01880929772818</v>
      </c>
      <c r="K563" s="360">
        <f t="shared" ca="1" si="247"/>
        <v>1794.900614109132</v>
      </c>
      <c r="L563" s="357">
        <f t="shared" ca="1" si="232"/>
        <v>1860.0619808914196</v>
      </c>
      <c r="M563" s="359">
        <f t="shared" ca="1" si="248"/>
        <v>1.2221866825121932</v>
      </c>
      <c r="N563" s="357">
        <f t="shared" ca="1" si="249"/>
        <v>70.026138685044174</v>
      </c>
      <c r="O563" s="343"/>
      <c r="P563" s="363">
        <f t="shared" ca="1" si="250"/>
        <v>23</v>
      </c>
      <c r="Q563" s="357">
        <f t="shared" ca="1" si="251"/>
        <v>0</v>
      </c>
      <c r="R563" s="359">
        <f t="shared" ca="1" si="252"/>
        <v>0</v>
      </c>
      <c r="S563" s="360">
        <f t="shared" ca="1" si="253"/>
        <v>10.637999999999975</v>
      </c>
      <c r="T563" s="357">
        <f t="shared" ca="1" si="233"/>
        <v>104.35877999999975</v>
      </c>
      <c r="U563" s="364">
        <f t="shared" ca="1" si="234"/>
        <v>0</v>
      </c>
      <c r="V563" s="359">
        <f t="shared" ca="1" si="235"/>
        <v>1.0232323212925962</v>
      </c>
      <c r="W563" s="357">
        <f t="shared" ca="1" si="236"/>
        <v>43.112364215424776</v>
      </c>
      <c r="X563" s="343"/>
      <c r="Y563" s="367" t="str">
        <f t="shared" ca="1" si="254"/>
        <v/>
      </c>
      <c r="Z563" s="368" t="str">
        <f t="shared" ca="1" si="255"/>
        <v/>
      </c>
      <c r="AA563" s="369" t="str">
        <f t="shared" ca="1" si="256"/>
        <v/>
      </c>
      <c r="AB563" s="344"/>
      <c r="AC563" s="363" t="e">
        <f t="shared" ca="1" si="257"/>
        <v>#N/A</v>
      </c>
      <c r="AD563" s="376" t="e">
        <f t="shared" ca="1" si="258"/>
        <v>#N/A</v>
      </c>
      <c r="AE563" s="377">
        <f t="shared" ca="1" si="237"/>
        <v>1794.900614109132</v>
      </c>
      <c r="AF563" s="344"/>
      <c r="AG563" s="359">
        <f t="shared" ca="1" si="259"/>
        <v>-13.366248704636758</v>
      </c>
      <c r="AH563" s="357">
        <f t="shared" ca="1" si="260"/>
        <v>-4.1381510052985941</v>
      </c>
    </row>
    <row r="564" spans="1:34" x14ac:dyDescent="0.25">
      <c r="A564" s="402">
        <f t="shared" ca="1" si="238"/>
        <v>0.1</v>
      </c>
      <c r="B564" s="357">
        <f t="shared" ca="1" si="239"/>
        <v>10.999999999999917</v>
      </c>
      <c r="C564" s="342"/>
      <c r="D564" s="359">
        <f t="shared" ca="1" si="240"/>
        <v>-1.3843592275872745</v>
      </c>
      <c r="E564" s="360">
        <f t="shared" ca="1" si="241"/>
        <v>-13.618901409711208</v>
      </c>
      <c r="F564" s="357">
        <f t="shared" ca="1" si="242"/>
        <v>13.689080541747133</v>
      </c>
      <c r="G564" s="359">
        <f t="shared" ca="1" si="243"/>
        <v>46.26185139506039</v>
      </c>
      <c r="H564" s="360">
        <f t="shared" ca="1" si="244"/>
        <v>126.30303689091404</v>
      </c>
      <c r="I564" s="357">
        <f t="shared" ca="1" si="245"/>
        <v>134.50879533460346</v>
      </c>
      <c r="J564" s="359">
        <f t="shared" ca="1" si="246"/>
        <v>492.65191623337216</v>
      </c>
      <c r="K564" s="360">
        <f t="shared" ca="1" si="247"/>
        <v>1807.599012305272</v>
      </c>
      <c r="L564" s="357">
        <f t="shared" ca="1" si="232"/>
        <v>1873.5314515255429</v>
      </c>
      <c r="M564" s="359">
        <f t="shared" ca="1" si="248"/>
        <v>1.2196953842802627</v>
      </c>
      <c r="N564" s="357">
        <f t="shared" ca="1" si="249"/>
        <v>69.883397810846148</v>
      </c>
      <c r="O564" s="343"/>
      <c r="P564" s="363">
        <f t="shared" ca="1" si="250"/>
        <v>23</v>
      </c>
      <c r="Q564" s="357">
        <f t="shared" ca="1" si="251"/>
        <v>0</v>
      </c>
      <c r="R564" s="359">
        <f t="shared" ca="1" si="252"/>
        <v>0</v>
      </c>
      <c r="S564" s="360">
        <f t="shared" ca="1" si="253"/>
        <v>10.637999999999975</v>
      </c>
      <c r="T564" s="357">
        <f t="shared" ca="1" si="233"/>
        <v>104.35877999999975</v>
      </c>
      <c r="U564" s="364">
        <f t="shared" ca="1" si="234"/>
        <v>0</v>
      </c>
      <c r="V564" s="359">
        <f t="shared" ca="1" si="235"/>
        <v>1.0219231927985746</v>
      </c>
      <c r="W564" s="357">
        <f t="shared" ca="1" si="236"/>
        <v>42.220149294361256</v>
      </c>
      <c r="X564" s="343"/>
      <c r="Y564" s="367" t="str">
        <f t="shared" ca="1" si="254"/>
        <v/>
      </c>
      <c r="Z564" s="368" t="str">
        <f t="shared" ca="1" si="255"/>
        <v/>
      </c>
      <c r="AA564" s="369" t="str">
        <f t="shared" ca="1" si="256"/>
        <v/>
      </c>
      <c r="AB564" s="344"/>
      <c r="AC564" s="363">
        <f t="shared" ca="1" si="257"/>
        <v>10.999999999999917</v>
      </c>
      <c r="AD564" s="376">
        <f t="shared" ca="1" si="258"/>
        <v>492.65191623337216</v>
      </c>
      <c r="AE564" s="377">
        <f t="shared" ca="1" si="237"/>
        <v>1807.599012305272</v>
      </c>
      <c r="AF564" s="344"/>
      <c r="AG564" s="359">
        <f t="shared" ca="1" si="259"/>
        <v>-13.272590032535826</v>
      </c>
      <c r="AH564" s="357">
        <f t="shared" ca="1" si="260"/>
        <v>-4.0526757111698508</v>
      </c>
    </row>
    <row r="565" spans="1:34" x14ac:dyDescent="0.25">
      <c r="A565" s="402">
        <f t="shared" ca="1" si="238"/>
        <v>0.1</v>
      </c>
      <c r="B565" s="357">
        <f t="shared" ca="1" si="239"/>
        <v>11.099999999999916</v>
      </c>
      <c r="C565" s="342"/>
      <c r="D565" s="359">
        <f t="shared" ca="1" si="240"/>
        <v>-1.3649982819417623</v>
      </c>
      <c r="E565" s="360">
        <f t="shared" ca="1" si="241"/>
        <v>-13.536686744286527</v>
      </c>
      <c r="F565" s="357">
        <f t="shared" ca="1" si="242"/>
        <v>13.605333818861135</v>
      </c>
      <c r="G565" s="359">
        <f t="shared" ca="1" si="243"/>
        <v>46.125351566866215</v>
      </c>
      <c r="H565" s="360">
        <f t="shared" ca="1" si="244"/>
        <v>124.9493682164854</v>
      </c>
      <c r="I565" s="357">
        <f t="shared" ca="1" si="245"/>
        <v>133.19118842801072</v>
      </c>
      <c r="J565" s="359">
        <f t="shared" ca="1" si="246"/>
        <v>497.27127638146851</v>
      </c>
      <c r="K565" s="360">
        <f t="shared" ca="1" si="247"/>
        <v>1820.1616325606419</v>
      </c>
      <c r="L565" s="357">
        <f t="shared" ca="1" si="232"/>
        <v>1886.8670040466222</v>
      </c>
      <c r="M565" s="359">
        <f t="shared" ca="1" si="248"/>
        <v>1.2171622028024009</v>
      </c>
      <c r="N565" s="357">
        <f t="shared" ca="1" si="249"/>
        <v>69.738257203423956</v>
      </c>
      <c r="O565" s="343"/>
      <c r="P565" s="363">
        <f t="shared" ca="1" si="250"/>
        <v>23</v>
      </c>
      <c r="Q565" s="357">
        <f t="shared" ca="1" si="251"/>
        <v>0</v>
      </c>
      <c r="R565" s="359">
        <f t="shared" ca="1" si="252"/>
        <v>0</v>
      </c>
      <c r="S565" s="360">
        <f t="shared" ca="1" si="253"/>
        <v>10.637999999999975</v>
      </c>
      <c r="T565" s="357">
        <f t="shared" ca="1" si="233"/>
        <v>104.35877999999975</v>
      </c>
      <c r="U565" s="364">
        <f t="shared" ca="1" si="234"/>
        <v>0</v>
      </c>
      <c r="V565" s="359">
        <f t="shared" ca="1" si="235"/>
        <v>1.020629561555624</v>
      </c>
      <c r="W565" s="357">
        <f t="shared" ca="1" si="236"/>
        <v>41.344645625689346</v>
      </c>
      <c r="X565" s="343"/>
      <c r="Y565" s="367" t="str">
        <f t="shared" ca="1" si="254"/>
        <v/>
      </c>
      <c r="Z565" s="368" t="str">
        <f t="shared" ca="1" si="255"/>
        <v/>
      </c>
      <c r="AA565" s="369" t="str">
        <f t="shared" ca="1" si="256"/>
        <v/>
      </c>
      <c r="AB565" s="344"/>
      <c r="AC565" s="363" t="e">
        <f t="shared" ca="1" si="257"/>
        <v>#N/A</v>
      </c>
      <c r="AD565" s="376" t="e">
        <f t="shared" ca="1" si="258"/>
        <v>#N/A</v>
      </c>
      <c r="AE565" s="377">
        <f t="shared" ca="1" si="237"/>
        <v>1820.1616325606419</v>
      </c>
      <c r="AF565" s="344"/>
      <c r="AG565" s="359">
        <f t="shared" ca="1" si="259"/>
        <v>-13.180342508516876</v>
      </c>
      <c r="AH565" s="357">
        <f t="shared" ca="1" si="260"/>
        <v>-3.9688051602144534</v>
      </c>
    </row>
    <row r="566" spans="1:34" x14ac:dyDescent="0.25">
      <c r="A566" s="402">
        <f t="shared" ca="1" si="238"/>
        <v>0.1</v>
      </c>
      <c r="B566" s="357">
        <f t="shared" ca="1" si="239"/>
        <v>11.199999999999916</v>
      </c>
      <c r="C566" s="342"/>
      <c r="D566" s="359">
        <f t="shared" ca="1" si="240"/>
        <v>-1.3459331294795542</v>
      </c>
      <c r="E566" s="360">
        <f t="shared" ca="1" si="241"/>
        <v>-13.456010024363987</v>
      </c>
      <c r="F566" s="357">
        <f t="shared" ca="1" si="242"/>
        <v>13.523155762055495</v>
      </c>
      <c r="G566" s="359">
        <f t="shared" ca="1" si="243"/>
        <v>45.990758253918258</v>
      </c>
      <c r="H566" s="360">
        <f t="shared" ca="1" si="244"/>
        <v>123.603767214049</v>
      </c>
      <c r="I566" s="357">
        <f t="shared" ca="1" si="245"/>
        <v>131.88267935659772</v>
      </c>
      <c r="J566" s="359">
        <f t="shared" ca="1" si="246"/>
        <v>501.87708187250774</v>
      </c>
      <c r="K566" s="360">
        <f t="shared" ca="1" si="247"/>
        <v>1832.5892893321686</v>
      </c>
      <c r="L566" s="357">
        <f t="shared" ca="1" si="232"/>
        <v>1900.0695010140673</v>
      </c>
      <c r="M566" s="359">
        <f t="shared" ca="1" si="248"/>
        <v>1.2145862024312872</v>
      </c>
      <c r="N566" s="357">
        <f t="shared" ca="1" si="249"/>
        <v>69.590663254135009</v>
      </c>
      <c r="O566" s="343"/>
      <c r="P566" s="363">
        <f t="shared" ca="1" si="250"/>
        <v>23</v>
      </c>
      <c r="Q566" s="357">
        <f t="shared" ca="1" si="251"/>
        <v>0</v>
      </c>
      <c r="R566" s="359">
        <f t="shared" ca="1" si="252"/>
        <v>0</v>
      </c>
      <c r="S566" s="360">
        <f t="shared" ca="1" si="253"/>
        <v>10.637999999999975</v>
      </c>
      <c r="T566" s="357">
        <f t="shared" ca="1" si="233"/>
        <v>104.35877999999975</v>
      </c>
      <c r="U566" s="364">
        <f t="shared" ca="1" si="234"/>
        <v>0</v>
      </c>
      <c r="V566" s="359">
        <f t="shared" ca="1" si="235"/>
        <v>1.0193512929518791</v>
      </c>
      <c r="W566" s="357">
        <f t="shared" ca="1" si="236"/>
        <v>40.485503462559812</v>
      </c>
      <c r="X566" s="343"/>
      <c r="Y566" s="367" t="str">
        <f t="shared" ca="1" si="254"/>
        <v/>
      </c>
      <c r="Z566" s="368" t="str">
        <f t="shared" ca="1" si="255"/>
        <v/>
      </c>
      <c r="AA566" s="369" t="str">
        <f t="shared" ca="1" si="256"/>
        <v/>
      </c>
      <c r="AB566" s="344"/>
      <c r="AC566" s="363" t="e">
        <f t="shared" ca="1" si="257"/>
        <v>#N/A</v>
      </c>
      <c r="AD566" s="376" t="e">
        <f t="shared" ca="1" si="258"/>
        <v>#N/A</v>
      </c>
      <c r="AE566" s="377">
        <f t="shared" ca="1" si="237"/>
        <v>1832.5892893321686</v>
      </c>
      <c r="AF566" s="344"/>
      <c r="AG566" s="359">
        <f t="shared" ca="1" si="259"/>
        <v>-13.089466432563686</v>
      </c>
      <c r="AH566" s="357">
        <f t="shared" ca="1" si="260"/>
        <v>-3.8865055109691147</v>
      </c>
    </row>
    <row r="567" spans="1:34" x14ac:dyDescent="0.25">
      <c r="A567" s="402">
        <f t="shared" ca="1" si="238"/>
        <v>0.1</v>
      </c>
      <c r="B567" s="357">
        <f t="shared" ca="1" si="239"/>
        <v>11.299999999999915</v>
      </c>
      <c r="C567" s="342"/>
      <c r="D567" s="359">
        <f t="shared" ca="1" si="240"/>
        <v>-1.3271571968774152</v>
      </c>
      <c r="E567" s="360">
        <f t="shared" ca="1" si="241"/>
        <v>-13.376838979118377</v>
      </c>
      <c r="F567" s="357">
        <f t="shared" ca="1" si="242"/>
        <v>13.442513429358526</v>
      </c>
      <c r="G567" s="359">
        <f t="shared" ca="1" si="243"/>
        <v>45.85804253423052</v>
      </c>
      <c r="H567" s="360">
        <f t="shared" ca="1" si="244"/>
        <v>122.26608331613716</v>
      </c>
      <c r="I567" s="357">
        <f t="shared" ca="1" si="245"/>
        <v>130.58313518421852</v>
      </c>
      <c r="J567" s="359">
        <f t="shared" ca="1" si="246"/>
        <v>506.46952191191519</v>
      </c>
      <c r="K567" s="360">
        <f t="shared" ca="1" si="247"/>
        <v>1844.8827818586778</v>
      </c>
      <c r="L567" s="357">
        <f t="shared" ca="1" si="232"/>
        <v>1913.1397898283069</v>
      </c>
      <c r="M567" s="359">
        <f t="shared" ca="1" si="248"/>
        <v>1.2119664200272007</v>
      </c>
      <c r="N567" s="357">
        <f t="shared" ca="1" si="249"/>
        <v>69.44056077913821</v>
      </c>
      <c r="O567" s="343"/>
      <c r="P567" s="363">
        <f t="shared" ca="1" si="250"/>
        <v>23</v>
      </c>
      <c r="Q567" s="357">
        <f t="shared" ca="1" si="251"/>
        <v>0</v>
      </c>
      <c r="R567" s="359">
        <f t="shared" ca="1" si="252"/>
        <v>0</v>
      </c>
      <c r="S567" s="360">
        <f t="shared" ca="1" si="253"/>
        <v>10.637999999999975</v>
      </c>
      <c r="T567" s="357">
        <f t="shared" ca="1" si="233"/>
        <v>104.35877999999975</v>
      </c>
      <c r="U567" s="364">
        <f t="shared" ca="1" si="234"/>
        <v>0</v>
      </c>
      <c r="V567" s="359">
        <f t="shared" ca="1" si="235"/>
        <v>1.0180882550073733</v>
      </c>
      <c r="W567" s="357">
        <f t="shared" ca="1" si="236"/>
        <v>39.64238297653236</v>
      </c>
      <c r="X567" s="343"/>
      <c r="Y567" s="367" t="str">
        <f t="shared" ca="1" si="254"/>
        <v/>
      </c>
      <c r="Z567" s="368" t="str">
        <f t="shared" ca="1" si="255"/>
        <v/>
      </c>
      <c r="AA567" s="369" t="str">
        <f t="shared" ca="1" si="256"/>
        <v/>
      </c>
      <c r="AB567" s="344"/>
      <c r="AC567" s="363" t="e">
        <f t="shared" ca="1" si="257"/>
        <v>#N/A</v>
      </c>
      <c r="AD567" s="376" t="e">
        <f t="shared" ca="1" si="258"/>
        <v>#N/A</v>
      </c>
      <c r="AE567" s="377">
        <f t="shared" ca="1" si="237"/>
        <v>1844.8827818586778</v>
      </c>
      <c r="AF567" s="344"/>
      <c r="AG567" s="359">
        <f t="shared" ca="1" si="259"/>
        <v>-12.999922851169552</v>
      </c>
      <c r="AH567" s="357">
        <f t="shared" ca="1" si="260"/>
        <v>-3.8057438863094482</v>
      </c>
    </row>
    <row r="568" spans="1:34" x14ac:dyDescent="0.25">
      <c r="A568" s="402">
        <f t="shared" ca="1" si="238"/>
        <v>0.1</v>
      </c>
      <c r="B568" s="357">
        <f t="shared" ca="1" si="239"/>
        <v>11.399999999999915</v>
      </c>
      <c r="C568" s="342"/>
      <c r="D568" s="359">
        <f t="shared" ca="1" si="240"/>
        <v>-1.3086640983558542</v>
      </c>
      <c r="E568" s="360">
        <f t="shared" ca="1" si="241"/>
        <v>-13.299142249431585</v>
      </c>
      <c r="F568" s="357">
        <f t="shared" ca="1" si="242"/>
        <v>13.363374809266622</v>
      </c>
      <c r="G568" s="359">
        <f t="shared" ca="1" si="243"/>
        <v>45.727176124394937</v>
      </c>
      <c r="H568" s="360">
        <f t="shared" ca="1" si="244"/>
        <v>120.936169091194</v>
      </c>
      <c r="I568" s="357">
        <f t="shared" ca="1" si="245"/>
        <v>129.29242681133843</v>
      </c>
      <c r="J568" s="359">
        <f t="shared" ca="1" si="246"/>
        <v>511.04878284484647</v>
      </c>
      <c r="K568" s="360">
        <f t="shared" ca="1" si="247"/>
        <v>1857.0428944790444</v>
      </c>
      <c r="L568" s="357">
        <f t="shared" ca="1" si="232"/>
        <v>1926.0787030602635</v>
      </c>
      <c r="M568" s="359">
        <f t="shared" ca="1" si="248"/>
        <v>1.2093018640065833</v>
      </c>
      <c r="N568" s="357">
        <f t="shared" ca="1" si="249"/>
        <v>69.287892964880669</v>
      </c>
      <c r="O568" s="343"/>
      <c r="P568" s="363">
        <f t="shared" ca="1" si="250"/>
        <v>23</v>
      </c>
      <c r="Q568" s="357">
        <f t="shared" ca="1" si="251"/>
        <v>0</v>
      </c>
      <c r="R568" s="359">
        <f t="shared" ca="1" si="252"/>
        <v>0</v>
      </c>
      <c r="S568" s="360">
        <f t="shared" ca="1" si="253"/>
        <v>10.637999999999975</v>
      </c>
      <c r="T568" s="357">
        <f t="shared" ca="1" si="233"/>
        <v>104.35877999999975</v>
      </c>
      <c r="U568" s="364">
        <f t="shared" ca="1" si="234"/>
        <v>0</v>
      </c>
      <c r="V568" s="359">
        <f t="shared" ca="1" si="235"/>
        <v>1.0168403183157546</v>
      </c>
      <c r="W568" s="357">
        <f t="shared" ca="1" si="236"/>
        <v>38.814953930684645</v>
      </c>
      <c r="X568" s="343"/>
      <c r="Y568" s="367" t="str">
        <f t="shared" ca="1" si="254"/>
        <v/>
      </c>
      <c r="Z568" s="368" t="str">
        <f t="shared" ca="1" si="255"/>
        <v/>
      </c>
      <c r="AA568" s="369" t="str">
        <f t="shared" ca="1" si="256"/>
        <v/>
      </c>
      <c r="AB568" s="344"/>
      <c r="AC568" s="363" t="e">
        <f t="shared" ca="1" si="257"/>
        <v>#N/A</v>
      </c>
      <c r="AD568" s="376" t="e">
        <f t="shared" ca="1" si="258"/>
        <v>#N/A</v>
      </c>
      <c r="AE568" s="377">
        <f t="shared" ca="1" si="237"/>
        <v>1857.0428944790444</v>
      </c>
      <c r="AF568" s="344"/>
      <c r="AG568" s="359">
        <f t="shared" ca="1" si="259"/>
        <v>-12.911673515948408</v>
      </c>
      <c r="AH568" s="357">
        <f t="shared" ca="1" si="260"/>
        <v>-3.7264883414676118</v>
      </c>
    </row>
    <row r="569" spans="1:34" x14ac:dyDescent="0.25">
      <c r="A569" s="402">
        <f t="shared" ca="1" si="238"/>
        <v>0.1</v>
      </c>
      <c r="B569" s="357">
        <f t="shared" ca="1" si="239"/>
        <v>11.499999999999915</v>
      </c>
      <c r="C569" s="342"/>
      <c r="D569" s="359">
        <f t="shared" ca="1" si="240"/>
        <v>-1.2904476297238625</v>
      </c>
      <c r="E569" s="360">
        <f t="shared" ca="1" si="241"/>
        <v>-13.222889357678012</v>
      </c>
      <c r="F569" s="357">
        <f t="shared" ca="1" si="242"/>
        <v>13.285708789916116</v>
      </c>
      <c r="G569" s="359">
        <f t="shared" ca="1" si="243"/>
        <v>45.598131361422553</v>
      </c>
      <c r="H569" s="360">
        <f t="shared" ca="1" si="244"/>
        <v>119.6138801554262</v>
      </c>
      <c r="I569" s="357">
        <f t="shared" ca="1" si="245"/>
        <v>128.010428909094</v>
      </c>
      <c r="J569" s="359">
        <f t="shared" ca="1" si="246"/>
        <v>515.61504821913729</v>
      </c>
      <c r="K569" s="360">
        <f t="shared" ca="1" si="247"/>
        <v>1869.0703969413755</v>
      </c>
      <c r="L569" s="357">
        <f t="shared" ca="1" si="232"/>
        <v>1938.887058771762</v>
      </c>
      <c r="M569" s="359">
        <f t="shared" ca="1" si="248"/>
        <v>1.2065915133535807</v>
      </c>
      <c r="N569" s="357">
        <f t="shared" ca="1" si="249"/>
        <v>69.132601311463091</v>
      </c>
      <c r="O569" s="343"/>
      <c r="P569" s="363">
        <f t="shared" ca="1" si="250"/>
        <v>23</v>
      </c>
      <c r="Q569" s="357">
        <f t="shared" ca="1" si="251"/>
        <v>0</v>
      </c>
      <c r="R569" s="359">
        <f t="shared" ca="1" si="252"/>
        <v>0</v>
      </c>
      <c r="S569" s="360">
        <f t="shared" ca="1" si="253"/>
        <v>10.637999999999975</v>
      </c>
      <c r="T569" s="357">
        <f t="shared" ca="1" si="233"/>
        <v>104.35877999999975</v>
      </c>
      <c r="U569" s="364">
        <f t="shared" ca="1" si="234"/>
        <v>0</v>
      </c>
      <c r="V569" s="359">
        <f t="shared" ca="1" si="235"/>
        <v>1.0156073559877137</v>
      </c>
      <c r="W569" s="357">
        <f t="shared" ca="1" si="236"/>
        <v>38.002895365465072</v>
      </c>
      <c r="X569" s="343"/>
      <c r="Y569" s="367" t="str">
        <f t="shared" ca="1" si="254"/>
        <v/>
      </c>
      <c r="Z569" s="368" t="str">
        <f t="shared" ca="1" si="255"/>
        <v/>
      </c>
      <c r="AA569" s="369" t="str">
        <f t="shared" ca="1" si="256"/>
        <v/>
      </c>
      <c r="AB569" s="344"/>
      <c r="AC569" s="363" t="e">
        <f t="shared" ca="1" si="257"/>
        <v>#N/A</v>
      </c>
      <c r="AD569" s="376" t="e">
        <f t="shared" ca="1" si="258"/>
        <v>#N/A</v>
      </c>
      <c r="AE569" s="377">
        <f t="shared" ca="1" si="237"/>
        <v>1869.0703969413755</v>
      </c>
      <c r="AF569" s="344"/>
      <c r="AG569" s="359">
        <f t="shared" ca="1" si="259"/>
        <v>-12.8246808430436</v>
      </c>
      <c r="AH569" s="357">
        <f t="shared" ca="1" si="260"/>
        <v>-3.6487078333036975</v>
      </c>
    </row>
    <row r="570" spans="1:34" x14ac:dyDescent="0.25">
      <c r="A570" s="402">
        <f t="shared" ca="1" si="238"/>
        <v>0.1</v>
      </c>
      <c r="B570" s="357">
        <f t="shared" ca="1" si="239"/>
        <v>11.599999999999914</v>
      </c>
      <c r="C570" s="342"/>
      <c r="D570" s="359">
        <f t="shared" ca="1" si="240"/>
        <v>-1.2725017626691373</v>
      </c>
      <c r="E570" s="360">
        <f t="shared" ca="1" si="241"/>
        <v>-13.148050678678651</v>
      </c>
      <c r="F570" s="357">
        <f t="shared" ca="1" si="242"/>
        <v>13.209485129447634</v>
      </c>
      <c r="G570" s="359">
        <f t="shared" ca="1" si="243"/>
        <v>45.47088118515564</v>
      </c>
      <c r="H570" s="360">
        <f t="shared" ca="1" si="244"/>
        <v>118.29907508755834</v>
      </c>
      <c r="I570" s="357">
        <f t="shared" ca="1" si="245"/>
        <v>126.73701985736569</v>
      </c>
      <c r="J570" s="359">
        <f t="shared" ca="1" si="246"/>
        <v>520.16849884646615</v>
      </c>
      <c r="K570" s="360">
        <f t="shared" ca="1" si="247"/>
        <v>1880.9660447035249</v>
      </c>
      <c r="L570" s="357">
        <f t="shared" ca="1" si="232"/>
        <v>1951.565660827175</v>
      </c>
      <c r="M570" s="359">
        <f t="shared" ca="1" si="248"/>
        <v>1.2038343165930687</v>
      </c>
      <c r="N570" s="357">
        <f t="shared" ca="1" si="249"/>
        <v>68.974625573798605</v>
      </c>
      <c r="O570" s="343"/>
      <c r="P570" s="363">
        <f t="shared" ca="1" si="250"/>
        <v>23</v>
      </c>
      <c r="Q570" s="357">
        <f t="shared" ca="1" si="251"/>
        <v>0</v>
      </c>
      <c r="R570" s="359">
        <f t="shared" ca="1" si="252"/>
        <v>0</v>
      </c>
      <c r="S570" s="360">
        <f t="shared" ca="1" si="253"/>
        <v>10.637999999999975</v>
      </c>
      <c r="T570" s="357">
        <f t="shared" ca="1" si="233"/>
        <v>104.35877999999975</v>
      </c>
      <c r="U570" s="364">
        <f t="shared" ca="1" si="234"/>
        <v>0</v>
      </c>
      <c r="V570" s="359">
        <f t="shared" ca="1" si="235"/>
        <v>1.014389243596074</v>
      </c>
      <c r="W570" s="357">
        <f t="shared" ca="1" si="236"/>
        <v>37.205895296726396</v>
      </c>
      <c r="X570" s="343"/>
      <c r="Y570" s="367" t="str">
        <f t="shared" ca="1" si="254"/>
        <v/>
      </c>
      <c r="Z570" s="368" t="str">
        <f t="shared" ca="1" si="255"/>
        <v/>
      </c>
      <c r="AA570" s="369" t="str">
        <f t="shared" ca="1" si="256"/>
        <v/>
      </c>
      <c r="AB570" s="344"/>
      <c r="AC570" s="363" t="e">
        <f t="shared" ca="1" si="257"/>
        <v>#N/A</v>
      </c>
      <c r="AD570" s="376" t="e">
        <f t="shared" ca="1" si="258"/>
        <v>#N/A</v>
      </c>
      <c r="AE570" s="377">
        <f t="shared" ca="1" si="237"/>
        <v>1880.9660447035249</v>
      </c>
      <c r="AF570" s="344"/>
      <c r="AG570" s="359">
        <f t="shared" ca="1" si="259"/>
        <v>-12.738907873254687</v>
      </c>
      <c r="AH570" s="357">
        <f t="shared" ca="1" si="260"/>
        <v>-3.572372190775067</v>
      </c>
    </row>
    <row r="571" spans="1:34" x14ac:dyDescent="0.25">
      <c r="A571" s="402">
        <f t="shared" ca="1" si="238"/>
        <v>0.1</v>
      </c>
      <c r="B571" s="357">
        <f t="shared" ca="1" si="239"/>
        <v>11.699999999999914</v>
      </c>
      <c r="C571" s="342"/>
      <c r="D571" s="359">
        <f t="shared" ca="1" si="240"/>
        <v>-1.254820639283633</v>
      </c>
      <c r="E571" s="360">
        <f t="shared" ca="1" si="241"/>
        <v>-13.074597411771588</v>
      </c>
      <c r="F571" s="357">
        <f t="shared" ca="1" si="242"/>
        <v>13.134674427509671</v>
      </c>
      <c r="G571" s="359">
        <f t="shared" ca="1" si="243"/>
        <v>45.345399121227274</v>
      </c>
      <c r="H571" s="360">
        <f t="shared" ca="1" si="244"/>
        <v>116.99161534638118</v>
      </c>
      <c r="I571" s="357">
        <f t="shared" ca="1" si="245"/>
        <v>125.4720816868</v>
      </c>
      <c r="J571" s="359">
        <f t="shared" ca="1" si="246"/>
        <v>524.70931286178529</v>
      </c>
      <c r="K571" s="360">
        <f t="shared" ca="1" si="247"/>
        <v>1892.7305792252218</v>
      </c>
      <c r="L571" s="357">
        <f t="shared" ca="1" si="232"/>
        <v>1964.1152991965951</v>
      </c>
      <c r="M571" s="359">
        <f t="shared" ca="1" si="248"/>
        <v>1.2010291907236013</v>
      </c>
      <c r="N571" s="357">
        <f t="shared" ca="1" si="249"/>
        <v>68.813903700475151</v>
      </c>
      <c r="O571" s="343"/>
      <c r="P571" s="363">
        <f t="shared" ca="1" si="250"/>
        <v>23</v>
      </c>
      <c r="Q571" s="357">
        <f t="shared" ca="1" si="251"/>
        <v>0</v>
      </c>
      <c r="R571" s="359">
        <f t="shared" ca="1" si="252"/>
        <v>0</v>
      </c>
      <c r="S571" s="360">
        <f t="shared" ca="1" si="253"/>
        <v>10.637999999999975</v>
      </c>
      <c r="T571" s="357">
        <f t="shared" ca="1" si="233"/>
        <v>104.35877999999975</v>
      </c>
      <c r="U571" s="364">
        <f t="shared" ca="1" si="234"/>
        <v>0</v>
      </c>
      <c r="V571" s="359">
        <f t="shared" ca="1" si="235"/>
        <v>1.0131858591224712</v>
      </c>
      <c r="W571" s="357">
        <f t="shared" ca="1" si="236"/>
        <v>36.423650425403302</v>
      </c>
      <c r="X571" s="343"/>
      <c r="Y571" s="367" t="str">
        <f t="shared" ca="1" si="254"/>
        <v/>
      </c>
      <c r="Z571" s="368" t="str">
        <f t="shared" ca="1" si="255"/>
        <v/>
      </c>
      <c r="AA571" s="369" t="str">
        <f t="shared" ca="1" si="256"/>
        <v/>
      </c>
      <c r="AB571" s="344"/>
      <c r="AC571" s="363" t="e">
        <f t="shared" ca="1" si="257"/>
        <v>#N/A</v>
      </c>
      <c r="AD571" s="376" t="e">
        <f t="shared" ca="1" si="258"/>
        <v>#N/A</v>
      </c>
      <c r="AE571" s="377">
        <f t="shared" ca="1" si="237"/>
        <v>1892.7305792252218</v>
      </c>
      <c r="AF571" s="344"/>
      <c r="AG571" s="359">
        <f t="shared" ca="1" si="259"/>
        <v>-12.654318232804037</v>
      </c>
      <c r="AH571" s="357">
        <f t="shared" ca="1" si="260"/>
        <v>-3.4974520865507128</v>
      </c>
    </row>
    <row r="572" spans="1:34" x14ac:dyDescent="0.25">
      <c r="A572" s="402">
        <f t="shared" ca="1" si="238"/>
        <v>0.1</v>
      </c>
      <c r="B572" s="357">
        <f t="shared" ca="1" si="239"/>
        <v>11.799999999999914</v>
      </c>
      <c r="C572" s="342"/>
      <c r="D572" s="359">
        <f t="shared" ca="1" si="240"/>
        <v>-1.2373985668148275</v>
      </c>
      <c r="E572" s="360">
        <f t="shared" ca="1" si="241"/>
        <v>-13.002501553949177</v>
      </c>
      <c r="F572" s="357">
        <f t="shared" ca="1" si="242"/>
        <v>13.061248097850608</v>
      </c>
      <c r="G572" s="359">
        <f t="shared" ca="1" si="243"/>
        <v>45.221659264545792</v>
      </c>
      <c r="H572" s="360">
        <f t="shared" ca="1" si="244"/>
        <v>115.69136519098626</v>
      </c>
      <c r="I572" s="357">
        <f t="shared" ca="1" si="245"/>
        <v>124.2155000247265</v>
      </c>
      <c r="J572" s="359">
        <f t="shared" ca="1" si="246"/>
        <v>529.23766578107393</v>
      </c>
      <c r="K572" s="360">
        <f t="shared" ca="1" si="247"/>
        <v>1904.3647282520901</v>
      </c>
      <c r="L572" s="357">
        <f t="shared" ca="1" si="232"/>
        <v>1976.5367502508159</v>
      </c>
      <c r="M572" s="359">
        <f t="shared" ca="1" si="248"/>
        <v>1.1981750201086732</v>
      </c>
      <c r="N572" s="357">
        <f t="shared" ca="1" si="249"/>
        <v>68.650371770229512</v>
      </c>
      <c r="O572" s="343"/>
      <c r="P572" s="363">
        <f t="shared" ca="1" si="250"/>
        <v>23</v>
      </c>
      <c r="Q572" s="357">
        <f t="shared" ca="1" si="251"/>
        <v>0</v>
      </c>
      <c r="R572" s="359">
        <f t="shared" ca="1" si="252"/>
        <v>0</v>
      </c>
      <c r="S572" s="360">
        <f t="shared" ca="1" si="253"/>
        <v>10.637999999999975</v>
      </c>
      <c r="T572" s="357">
        <f t="shared" ca="1" si="233"/>
        <v>104.35877999999975</v>
      </c>
      <c r="U572" s="364">
        <f t="shared" ca="1" si="234"/>
        <v>0</v>
      </c>
      <c r="V572" s="359">
        <f t="shared" ca="1" si="235"/>
        <v>1.0119970829055891</v>
      </c>
      <c r="W572" s="357">
        <f t="shared" ca="1" si="236"/>
        <v>35.655865858326024</v>
      </c>
      <c r="X572" s="343"/>
      <c r="Y572" s="367" t="str">
        <f t="shared" ca="1" si="254"/>
        <v/>
      </c>
      <c r="Z572" s="368" t="str">
        <f t="shared" ca="1" si="255"/>
        <v/>
      </c>
      <c r="AA572" s="369" t="str">
        <f t="shared" ca="1" si="256"/>
        <v/>
      </c>
      <c r="AB572" s="344"/>
      <c r="AC572" s="363" t="e">
        <f t="shared" ca="1" si="257"/>
        <v>#N/A</v>
      </c>
      <c r="AD572" s="376" t="e">
        <f t="shared" ca="1" si="258"/>
        <v>#N/A</v>
      </c>
      <c r="AE572" s="377">
        <f t="shared" ca="1" si="237"/>
        <v>1904.3647282520901</v>
      </c>
      <c r="AF572" s="344"/>
      <c r="AG572" s="359">
        <f t="shared" ca="1" si="259"/>
        <v>-12.570876094666199</v>
      </c>
      <c r="AH572" s="357">
        <f t="shared" ca="1" si="260"/>
        <v>-3.4239190097201906</v>
      </c>
    </row>
    <row r="573" spans="1:34" x14ac:dyDescent="0.25">
      <c r="A573" s="402">
        <f t="shared" ca="1" si="238"/>
        <v>0.1</v>
      </c>
      <c r="B573" s="357">
        <f t="shared" ca="1" si="239"/>
        <v>11.899999999999913</v>
      </c>
      <c r="C573" s="342"/>
      <c r="D573" s="359">
        <f t="shared" ca="1" si="240"/>
        <v>-1.2202300126336294</v>
      </c>
      <c r="E573" s="360">
        <f t="shared" ca="1" si="241"/>
        <v>-12.931735874014638</v>
      </c>
      <c r="F573" s="357">
        <f t="shared" ca="1" si="242"/>
        <v>12.989178341951003</v>
      </c>
      <c r="G573" s="359">
        <f t="shared" ca="1" si="243"/>
        <v>45.099636263282427</v>
      </c>
      <c r="H573" s="360">
        <f t="shared" ca="1" si="244"/>
        <v>114.39819160358479</v>
      </c>
      <c r="I573" s="357">
        <f t="shared" ca="1" si="245"/>
        <v>122.96716404492248</v>
      </c>
      <c r="J573" s="359">
        <f t="shared" ca="1" si="246"/>
        <v>533.75373055746536</v>
      </c>
      <c r="K573" s="360">
        <f t="shared" ca="1" si="247"/>
        <v>1915.8692060918186</v>
      </c>
      <c r="L573" s="357">
        <f t="shared" ca="1" si="232"/>
        <v>1988.8307770483909</v>
      </c>
      <c r="M573" s="359">
        <f t="shared" ca="1" si="248"/>
        <v>1.1952706553246215</v>
      </c>
      <c r="N573" s="357">
        <f t="shared" ca="1" si="249"/>
        <v>68.483963925936933</v>
      </c>
      <c r="O573" s="343"/>
      <c r="P573" s="363">
        <f t="shared" ca="1" si="250"/>
        <v>23</v>
      </c>
      <c r="Q573" s="357">
        <f t="shared" ca="1" si="251"/>
        <v>0</v>
      </c>
      <c r="R573" s="359">
        <f t="shared" ca="1" si="252"/>
        <v>0</v>
      </c>
      <c r="S573" s="360">
        <f t="shared" ca="1" si="253"/>
        <v>10.637999999999975</v>
      </c>
      <c r="T573" s="357">
        <f t="shared" ca="1" si="233"/>
        <v>104.35877999999975</v>
      </c>
      <c r="U573" s="364">
        <f t="shared" ca="1" si="234"/>
        <v>0</v>
      </c>
      <c r="V573" s="359">
        <f t="shared" ca="1" si="235"/>
        <v>1.0108227975908788</v>
      </c>
      <c r="W573" s="357">
        <f t="shared" ca="1" si="236"/>
        <v>34.902254839684709</v>
      </c>
      <c r="X573" s="343"/>
      <c r="Y573" s="367" t="str">
        <f t="shared" ca="1" si="254"/>
        <v/>
      </c>
      <c r="Z573" s="368" t="str">
        <f t="shared" ca="1" si="255"/>
        <v/>
      </c>
      <c r="AA573" s="369" t="str">
        <f t="shared" ca="1" si="256"/>
        <v/>
      </c>
      <c r="AB573" s="344"/>
      <c r="AC573" s="363" t="e">
        <f t="shared" ca="1" si="257"/>
        <v>#N/A</v>
      </c>
      <c r="AD573" s="376" t="e">
        <f t="shared" ca="1" si="258"/>
        <v>#N/A</v>
      </c>
      <c r="AE573" s="377">
        <f t="shared" ca="1" si="237"/>
        <v>1915.8692060918186</v>
      </c>
      <c r="AF573" s="344"/>
      <c r="AG573" s="359">
        <f t="shared" ca="1" si="259"/>
        <v>-12.488546140384233</v>
      </c>
      <c r="AH573" s="357">
        <f t="shared" ca="1" si="260"/>
        <v>-3.3517452395493614</v>
      </c>
    </row>
    <row r="574" spans="1:34" x14ac:dyDescent="0.25">
      <c r="A574" s="402">
        <f t="shared" ca="1" si="238"/>
        <v>0.1</v>
      </c>
      <c r="B574" s="357">
        <f t="shared" ca="1" si="239"/>
        <v>11.999999999999913</v>
      </c>
      <c r="C574" s="342"/>
      <c r="D574" s="359">
        <f t="shared" ca="1" si="240"/>
        <v>-1.2033095994103105</v>
      </c>
      <c r="E574" s="360">
        <f t="shared" ca="1" si="241"/>
        <v>-12.862273887713053</v>
      </c>
      <c r="F574" s="357">
        <f t="shared" ca="1" si="242"/>
        <v>12.918438123650168</v>
      </c>
      <c r="G574" s="359">
        <f t="shared" ca="1" si="243"/>
        <v>44.979305303341398</v>
      </c>
      <c r="H574" s="360">
        <f t="shared" ca="1" si="244"/>
        <v>113.11196421481348</v>
      </c>
      <c r="I574" s="357">
        <f t="shared" ca="1" si="245"/>
        <v>121.72696642118558</v>
      </c>
      <c r="J574" s="359">
        <f t="shared" ca="1" si="246"/>
        <v>538.25767763579654</v>
      </c>
      <c r="K574" s="360">
        <f t="shared" ca="1" si="247"/>
        <v>1927.2447138827386</v>
      </c>
      <c r="L574" s="357">
        <f t="shared" ca="1" si="232"/>
        <v>2000.9981296150279</v>
      </c>
      <c r="M574" s="359">
        <f t="shared" ca="1" si="248"/>
        <v>1.1923149119634413</v>
      </c>
      <c r="N574" s="357">
        <f t="shared" ca="1" si="249"/>
        <v>68.314612306017494</v>
      </c>
      <c r="O574" s="343"/>
      <c r="P574" s="363">
        <f t="shared" ca="1" si="250"/>
        <v>23</v>
      </c>
      <c r="Q574" s="357">
        <f t="shared" ca="1" si="251"/>
        <v>0</v>
      </c>
      <c r="R574" s="359">
        <f t="shared" ca="1" si="252"/>
        <v>0</v>
      </c>
      <c r="S574" s="360">
        <f t="shared" ca="1" si="253"/>
        <v>10.637999999999975</v>
      </c>
      <c r="T574" s="357">
        <f t="shared" ca="1" si="233"/>
        <v>104.35877999999975</v>
      </c>
      <c r="U574" s="364">
        <f t="shared" ca="1" si="234"/>
        <v>0</v>
      </c>
      <c r="V574" s="359">
        <f t="shared" ca="1" si="235"/>
        <v>1.009662888081728</v>
      </c>
      <c r="W574" s="357">
        <f t="shared" ca="1" si="236"/>
        <v>34.162538492684938</v>
      </c>
      <c r="X574" s="343"/>
      <c r="Y574" s="367" t="str">
        <f t="shared" ca="1" si="254"/>
        <v/>
      </c>
      <c r="Z574" s="368" t="str">
        <f t="shared" ca="1" si="255"/>
        <v/>
      </c>
      <c r="AA574" s="369" t="str">
        <f t="shared" ca="1" si="256"/>
        <v/>
      </c>
      <c r="AB574" s="344"/>
      <c r="AC574" s="363">
        <f t="shared" ca="1" si="257"/>
        <v>11.999999999999913</v>
      </c>
      <c r="AD574" s="376">
        <f t="shared" ca="1" si="258"/>
        <v>538.25767763579654</v>
      </c>
      <c r="AE574" s="377">
        <f t="shared" ca="1" si="237"/>
        <v>1927.2447138827386</v>
      </c>
      <c r="AF574" s="344"/>
      <c r="AG574" s="359">
        <f t="shared" ca="1" si="259"/>
        <v>-12.407293522297856</v>
      </c>
      <c r="AH574" s="357">
        <f t="shared" ca="1" si="260"/>
        <v>-3.2809038202373371</v>
      </c>
    </row>
    <row r="575" spans="1:34" x14ac:dyDescent="0.25">
      <c r="A575" s="402">
        <f t="shared" ca="1" si="238"/>
        <v>0.1</v>
      </c>
      <c r="B575" s="357">
        <f t="shared" ca="1" si="239"/>
        <v>12.099999999999913</v>
      </c>
      <c r="C575" s="342"/>
      <c r="D575" s="359">
        <f t="shared" ca="1" si="240"/>
        <v>-1.186632100490346</v>
      </c>
      <c r="E575" s="360">
        <f t="shared" ca="1" si="241"/>
        <v>-12.794089833793896</v>
      </c>
      <c r="F575" s="357">
        <f t="shared" ca="1" si="242"/>
        <v>12.849001144723371</v>
      </c>
      <c r="G575" s="359">
        <f t="shared" ca="1" si="243"/>
        <v>44.860642093292363</v>
      </c>
      <c r="H575" s="360">
        <f t="shared" ca="1" si="244"/>
        <v>111.8325552314341</v>
      </c>
      <c r="I575" s="357">
        <f t="shared" ca="1" si="245"/>
        <v>120.49480328468208</v>
      </c>
      <c r="J575" s="359">
        <f t="shared" ca="1" si="246"/>
        <v>542.74967500562821</v>
      </c>
      <c r="K575" s="360">
        <f t="shared" ca="1" si="247"/>
        <v>1938.491939855051</v>
      </c>
      <c r="L575" s="357">
        <f t="shared" ca="1" si="232"/>
        <v>2013.0395452155713</v>
      </c>
      <c r="M575" s="359">
        <f t="shared" ca="1" si="248"/>
        <v>1.1893065693887288</v>
      </c>
      <c r="N575" s="357">
        <f t="shared" ca="1" si="249"/>
        <v>68.142246973156944</v>
      </c>
      <c r="O575" s="343"/>
      <c r="P575" s="363">
        <f t="shared" ca="1" si="250"/>
        <v>23</v>
      </c>
      <c r="Q575" s="357">
        <f t="shared" ca="1" si="251"/>
        <v>0</v>
      </c>
      <c r="R575" s="359">
        <f t="shared" ca="1" si="252"/>
        <v>0</v>
      </c>
      <c r="S575" s="360">
        <f t="shared" ca="1" si="253"/>
        <v>10.637999999999975</v>
      </c>
      <c r="T575" s="357">
        <f t="shared" ca="1" si="233"/>
        <v>104.35877999999975</v>
      </c>
      <c r="U575" s="364">
        <f t="shared" ca="1" si="234"/>
        <v>0</v>
      </c>
      <c r="V575" s="359">
        <f t="shared" ca="1" si="235"/>
        <v>1.0085172414920214</v>
      </c>
      <c r="W575" s="357">
        <f t="shared" ca="1" si="236"/>
        <v>33.436445570955506</v>
      </c>
      <c r="X575" s="343"/>
      <c r="Y575" s="367" t="str">
        <f t="shared" ca="1" si="254"/>
        <v/>
      </c>
      <c r="Z575" s="368" t="str">
        <f t="shared" ca="1" si="255"/>
        <v/>
      </c>
      <c r="AA575" s="369" t="str">
        <f t="shared" ca="1" si="256"/>
        <v/>
      </c>
      <c r="AB575" s="344"/>
      <c r="AC575" s="363" t="e">
        <f t="shared" ca="1" si="257"/>
        <v>#N/A</v>
      </c>
      <c r="AD575" s="376" t="e">
        <f t="shared" ca="1" si="258"/>
        <v>#N/A</v>
      </c>
      <c r="AE575" s="377">
        <f t="shared" ca="1" si="237"/>
        <v>1938.491939855051</v>
      </c>
      <c r="AF575" s="344"/>
      <c r="AG575" s="359">
        <f t="shared" ca="1" si="259"/>
        <v>-12.327083826108954</v>
      </c>
      <c r="AH575" s="357">
        <f t="shared" ca="1" si="260"/>
        <v>-3.2113685366314173</v>
      </c>
    </row>
    <row r="576" spans="1:34" x14ac:dyDescent="0.25">
      <c r="A576" s="402">
        <f t="shared" ca="1" si="238"/>
        <v>0.1</v>
      </c>
      <c r="B576" s="357">
        <f t="shared" ca="1" si="239"/>
        <v>12.199999999999912</v>
      </c>
      <c r="C576" s="342"/>
      <c r="D576" s="359">
        <f t="shared" ca="1" si="240"/>
        <v>-1.1701924354624491</v>
      </c>
      <c r="E576" s="360">
        <f t="shared" ca="1" si="241"/>
        <v>-12.727158650964293</v>
      </c>
      <c r="F576" s="357">
        <f t="shared" ca="1" si="242"/>
        <v>12.78084182136798</v>
      </c>
      <c r="G576" s="359">
        <f t="shared" ca="1" si="243"/>
        <v>44.743622849746117</v>
      </c>
      <c r="H576" s="360">
        <f t="shared" ca="1" si="244"/>
        <v>110.55983936633767</v>
      </c>
      <c r="I576" s="357">
        <f t="shared" ca="1" si="245"/>
        <v>119.27057418504663</v>
      </c>
      <c r="J576" s="359">
        <f t="shared" ca="1" si="246"/>
        <v>547.22988825278014</v>
      </c>
      <c r="K576" s="360">
        <f t="shared" ca="1" si="247"/>
        <v>1949.6115595849396</v>
      </c>
      <c r="L576" s="357">
        <f t="shared" ca="1" si="232"/>
        <v>2024.9557486188114</v>
      </c>
      <c r="M576" s="359">
        <f t="shared" ca="1" si="248"/>
        <v>1.1862443694429043</v>
      </c>
      <c r="N576" s="357">
        <f t="shared" ca="1" si="249"/>
        <v>67.966795840236017</v>
      </c>
      <c r="O576" s="343"/>
      <c r="P576" s="363">
        <f t="shared" ca="1" si="250"/>
        <v>23</v>
      </c>
      <c r="Q576" s="357">
        <f t="shared" ca="1" si="251"/>
        <v>0</v>
      </c>
      <c r="R576" s="359">
        <f t="shared" ca="1" si="252"/>
        <v>0</v>
      </c>
      <c r="S576" s="360">
        <f t="shared" ca="1" si="253"/>
        <v>10.637999999999975</v>
      </c>
      <c r="T576" s="357">
        <f t="shared" ca="1" si="233"/>
        <v>104.35877999999975</v>
      </c>
      <c r="U576" s="364">
        <f t="shared" ca="1" si="234"/>
        <v>0</v>
      </c>
      <c r="V576" s="359">
        <f t="shared" ca="1" si="235"/>
        <v>1.0073857471000538</v>
      </c>
      <c r="W576" s="357">
        <f t="shared" ca="1" si="236"/>
        <v>32.723712219292196</v>
      </c>
      <c r="X576" s="343"/>
      <c r="Y576" s="367" t="str">
        <f t="shared" ca="1" si="254"/>
        <v/>
      </c>
      <c r="Z576" s="368" t="str">
        <f t="shared" ca="1" si="255"/>
        <v/>
      </c>
      <c r="AA576" s="369" t="str">
        <f t="shared" ca="1" si="256"/>
        <v/>
      </c>
      <c r="AB576" s="344"/>
      <c r="AC576" s="363" t="e">
        <f t="shared" ca="1" si="257"/>
        <v>#N/A</v>
      </c>
      <c r="AD576" s="376" t="e">
        <f t="shared" ca="1" si="258"/>
        <v>#N/A</v>
      </c>
      <c r="AE576" s="377">
        <f t="shared" ca="1" si="237"/>
        <v>1949.6115595849396</v>
      </c>
      <c r="AF576" s="344"/>
      <c r="AG576" s="359">
        <f t="shared" ca="1" si="259"/>
        <v>-12.247883033710549</v>
      </c>
      <c r="AH576" s="357">
        <f t="shared" ca="1" si="260"/>
        <v>-3.143113890858769</v>
      </c>
    </row>
    <row r="577" spans="1:34" x14ac:dyDescent="0.25">
      <c r="A577" s="402">
        <f t="shared" ca="1" si="238"/>
        <v>0.1</v>
      </c>
      <c r="B577" s="357">
        <f t="shared" ca="1" si="239"/>
        <v>12.299999999999912</v>
      </c>
      <c r="C577" s="342"/>
      <c r="D577" s="359">
        <f t="shared" ca="1" si="240"/>
        <v>-1.1539856659115639</v>
      </c>
      <c r="E577" s="360">
        <f t="shared" ca="1" si="241"/>
        <v>-12.661455955694091</v>
      </c>
      <c r="F577" s="357">
        <f t="shared" ca="1" si="242"/>
        <v>12.713935261558898</v>
      </c>
      <c r="G577" s="359">
        <f t="shared" ca="1" si="243"/>
        <v>44.628224283154964</v>
      </c>
      <c r="H577" s="360">
        <f t="shared" ca="1" si="244"/>
        <v>109.29369377076826</v>
      </c>
      <c r="I577" s="357">
        <f t="shared" ca="1" si="245"/>
        <v>118.05418205521586</v>
      </c>
      <c r="J577" s="359">
        <f t="shared" ca="1" si="246"/>
        <v>551.69848060942525</v>
      </c>
      <c r="K577" s="360">
        <f t="shared" ca="1" si="247"/>
        <v>1960.604236241795</v>
      </c>
      <c r="L577" s="357">
        <f t="shared" ca="1" si="232"/>
        <v>2036.7474523553531</v>
      </c>
      <c r="M577" s="359">
        <f t="shared" ca="1" si="248"/>
        <v>1.1831270151038187</v>
      </c>
      <c r="N577" s="357">
        <f t="shared" ca="1" si="249"/>
        <v>67.788184593359617</v>
      </c>
      <c r="O577" s="343"/>
      <c r="P577" s="363">
        <f t="shared" ca="1" si="250"/>
        <v>23</v>
      </c>
      <c r="Q577" s="357">
        <f t="shared" ca="1" si="251"/>
        <v>0</v>
      </c>
      <c r="R577" s="359">
        <f t="shared" ca="1" si="252"/>
        <v>0</v>
      </c>
      <c r="S577" s="360">
        <f t="shared" ca="1" si="253"/>
        <v>10.637999999999975</v>
      </c>
      <c r="T577" s="357">
        <f t="shared" ca="1" si="233"/>
        <v>104.35877999999975</v>
      </c>
      <c r="U577" s="364">
        <f t="shared" ca="1" si="234"/>
        <v>0</v>
      </c>
      <c r="V577" s="359">
        <f t="shared" ca="1" si="235"/>
        <v>1.0062682963037437</v>
      </c>
      <c r="W577" s="357">
        <f t="shared" ca="1" si="236"/>
        <v>32.024081743340069</v>
      </c>
      <c r="X577" s="343"/>
      <c r="Y577" s="367" t="str">
        <f t="shared" ca="1" si="254"/>
        <v/>
      </c>
      <c r="Z577" s="368" t="str">
        <f t="shared" ca="1" si="255"/>
        <v/>
      </c>
      <c r="AA577" s="369" t="str">
        <f t="shared" ca="1" si="256"/>
        <v/>
      </c>
      <c r="AB577" s="344"/>
      <c r="AC577" s="363" t="e">
        <f t="shared" ca="1" si="257"/>
        <v>#N/A</v>
      </c>
      <c r="AD577" s="376" t="e">
        <f t="shared" ca="1" si="258"/>
        <v>#N/A</v>
      </c>
      <c r="AE577" s="377">
        <f t="shared" ca="1" si="237"/>
        <v>1960.604236241795</v>
      </c>
      <c r="AF577" s="344"/>
      <c r="AG577" s="359">
        <f t="shared" ca="1" si="259"/>
        <v>-12.169657486205306</v>
      </c>
      <c r="AH577" s="357">
        <f t="shared" ca="1" si="260"/>
        <v>-3.0761150798357089</v>
      </c>
    </row>
    <row r="578" spans="1:34" x14ac:dyDescent="0.25">
      <c r="A578" s="402">
        <f t="shared" ca="1" si="238"/>
        <v>0.1</v>
      </c>
      <c r="B578" s="357">
        <f t="shared" ca="1" si="239"/>
        <v>12.399999999999912</v>
      </c>
      <c r="C578" s="342"/>
      <c r="D578" s="359">
        <f t="shared" ca="1" si="240"/>
        <v>-1.1380069913499125</v>
      </c>
      <c r="E578" s="360">
        <f t="shared" ca="1" si="241"/>
        <v>-12.596958020835642</v>
      </c>
      <c r="F578" s="357">
        <f t="shared" ca="1" si="242"/>
        <v>12.648257243235395</v>
      </c>
      <c r="G578" s="359">
        <f t="shared" ca="1" si="243"/>
        <v>44.514423584019973</v>
      </c>
      <c r="H578" s="360">
        <f t="shared" ca="1" si="244"/>
        <v>108.03399796868469</v>
      </c>
      <c r="I578" s="357">
        <f t="shared" ca="1" si="245"/>
        <v>116.84553317998648</v>
      </c>
      <c r="J578" s="359">
        <f t="shared" ca="1" si="246"/>
        <v>556.15561300278398</v>
      </c>
      <c r="K578" s="360">
        <f t="shared" ca="1" si="247"/>
        <v>1971.4706208287676</v>
      </c>
      <c r="L578" s="357">
        <f t="shared" ca="1" si="232"/>
        <v>2048.4153569687637</v>
      </c>
      <c r="M578" s="359">
        <f t="shared" ca="1" si="248"/>
        <v>1.1799531690887786</v>
      </c>
      <c r="N578" s="357">
        <f t="shared" ca="1" si="249"/>
        <v>67.606336611873402</v>
      </c>
      <c r="O578" s="343"/>
      <c r="P578" s="363">
        <f t="shared" ca="1" si="250"/>
        <v>23</v>
      </c>
      <c r="Q578" s="357">
        <f t="shared" ca="1" si="251"/>
        <v>0</v>
      </c>
      <c r="R578" s="359">
        <f t="shared" ca="1" si="252"/>
        <v>0</v>
      </c>
      <c r="S578" s="360">
        <f t="shared" ca="1" si="253"/>
        <v>10.637999999999975</v>
      </c>
      <c r="T578" s="357">
        <f t="shared" ca="1" si="233"/>
        <v>104.35877999999975</v>
      </c>
      <c r="U578" s="364">
        <f t="shared" ca="1" si="234"/>
        <v>0</v>
      </c>
      <c r="V578" s="359">
        <f t="shared" ca="1" si="235"/>
        <v>1.0051647825771124</v>
      </c>
      <c r="W578" s="357">
        <f t="shared" ca="1" si="236"/>
        <v>31.337304387836824</v>
      </c>
      <c r="X578" s="343"/>
      <c r="Y578" s="367" t="str">
        <f t="shared" ca="1" si="254"/>
        <v/>
      </c>
      <c r="Z578" s="368" t="str">
        <f t="shared" ca="1" si="255"/>
        <v/>
      </c>
      <c r="AA578" s="369" t="str">
        <f t="shared" ca="1" si="256"/>
        <v/>
      </c>
      <c r="AB578" s="344"/>
      <c r="AC578" s="363" t="e">
        <f t="shared" ca="1" si="257"/>
        <v>#N/A</v>
      </c>
      <c r="AD578" s="376" t="e">
        <f t="shared" ca="1" si="258"/>
        <v>#N/A</v>
      </c>
      <c r="AE578" s="377">
        <f t="shared" ca="1" si="237"/>
        <v>1971.4706208287676</v>
      </c>
      <c r="AF578" s="344"/>
      <c r="AG578" s="359">
        <f t="shared" ca="1" si="259"/>
        <v>-12.092373847040038</v>
      </c>
      <c r="AH578" s="357">
        <f t="shared" ca="1" si="260"/>
        <v>-3.0103479736172347</v>
      </c>
    </row>
    <row r="579" spans="1:34" x14ac:dyDescent="0.25">
      <c r="A579" s="402">
        <f t="shared" ca="1" si="238"/>
        <v>0.1</v>
      </c>
      <c r="B579" s="357">
        <f t="shared" ca="1" si="239"/>
        <v>12.499999999999911</v>
      </c>
      <c r="C579" s="342"/>
      <c r="D579" s="359">
        <f t="shared" ca="1" si="240"/>
        <v>-1.1222517453196419</v>
      </c>
      <c r="E579" s="360">
        <f t="shared" ca="1" si="241"/>
        <v>-12.533641755022948</v>
      </c>
      <c r="F579" s="357">
        <f t="shared" ca="1" si="242"/>
        <v>12.583784193283343</v>
      </c>
      <c r="G579" s="359">
        <f t="shared" ca="1" si="243"/>
        <v>44.402198409488008</v>
      </c>
      <c r="H579" s="360">
        <f t="shared" ca="1" si="244"/>
        <v>106.78063379318239</v>
      </c>
      <c r="I579" s="357">
        <f t="shared" ca="1" si="245"/>
        <v>115.64453716829544</v>
      </c>
      <c r="J579" s="359">
        <f t="shared" ca="1" si="246"/>
        <v>560.60144410245937</v>
      </c>
      <c r="K579" s="360">
        <f t="shared" ca="1" si="247"/>
        <v>1982.2113524168608</v>
      </c>
      <c r="L579" s="357">
        <f t="shared" ca="1" si="232"/>
        <v>2059.9601512602235</v>
      </c>
      <c r="M579" s="359">
        <f t="shared" ca="1" si="248"/>
        <v>1.1767214524039789</v>
      </c>
      <c r="N579" s="357">
        <f t="shared" ca="1" si="249"/>
        <v>67.421172885252361</v>
      </c>
      <c r="O579" s="343"/>
      <c r="P579" s="363">
        <f t="shared" ca="1" si="250"/>
        <v>23</v>
      </c>
      <c r="Q579" s="357">
        <f t="shared" ca="1" si="251"/>
        <v>0</v>
      </c>
      <c r="R579" s="359">
        <f t="shared" ca="1" si="252"/>
        <v>0</v>
      </c>
      <c r="S579" s="360">
        <f t="shared" ca="1" si="253"/>
        <v>10.637999999999975</v>
      </c>
      <c r="T579" s="357">
        <f t="shared" ca="1" si="233"/>
        <v>104.35877999999975</v>
      </c>
      <c r="U579" s="364">
        <f t="shared" ca="1" si="234"/>
        <v>0</v>
      </c>
      <c r="V579" s="359">
        <f t="shared" ca="1" si="235"/>
        <v>1.0040751014279843</v>
      </c>
      <c r="W579" s="357">
        <f t="shared" ca="1" si="236"/>
        <v>30.663137123057016</v>
      </c>
      <c r="X579" s="343"/>
      <c r="Y579" s="367" t="str">
        <f t="shared" ca="1" si="254"/>
        <v/>
      </c>
      <c r="Z579" s="368" t="str">
        <f t="shared" ca="1" si="255"/>
        <v/>
      </c>
      <c r="AA579" s="369" t="str">
        <f t="shared" ca="1" si="256"/>
        <v/>
      </c>
      <c r="AB579" s="344"/>
      <c r="AC579" s="363" t="e">
        <f t="shared" ca="1" si="257"/>
        <v>#N/A</v>
      </c>
      <c r="AD579" s="376" t="e">
        <f t="shared" ca="1" si="258"/>
        <v>#N/A</v>
      </c>
      <c r="AE579" s="377">
        <f t="shared" ca="1" si="237"/>
        <v>1982.2113524168608</v>
      </c>
      <c r="AF579" s="344"/>
      <c r="AG579" s="359">
        <f t="shared" ca="1" si="259"/>
        <v>-12.015999065182212</v>
      </c>
      <c r="AH579" s="357">
        <f t="shared" ca="1" si="260"/>
        <v>-2.9457890945513157</v>
      </c>
    </row>
    <row r="580" spans="1:34" x14ac:dyDescent="0.25">
      <c r="A580" s="402">
        <f t="shared" ca="1" si="238"/>
        <v>0.1</v>
      </c>
      <c r="B580" s="357">
        <f t="shared" ca="1" si="239"/>
        <v>12.599999999999911</v>
      </c>
      <c r="C580" s="342"/>
      <c r="D580" s="359">
        <f t="shared" ca="1" si="240"/>
        <v>-1.1067153916609449</v>
      </c>
      <c r="E580" s="360">
        <f t="shared" ca="1" si="241"/>
        <v>-12.471484682816371</v>
      </c>
      <c r="F580" s="357">
        <f t="shared" ca="1" si="242"/>
        <v>12.5204931672783</v>
      </c>
      <c r="G580" s="359">
        <f t="shared" ca="1" si="243"/>
        <v>44.291526870321917</v>
      </c>
      <c r="H580" s="360">
        <f t="shared" ca="1" si="244"/>
        <v>105.53348532490075</v>
      </c>
      <c r="I580" s="357">
        <f t="shared" ca="1" si="245"/>
        <v>114.45110692922761</v>
      </c>
      <c r="J580" s="359">
        <f t="shared" ca="1" si="246"/>
        <v>565.03613036644981</v>
      </c>
      <c r="K580" s="360">
        <f t="shared" ca="1" si="247"/>
        <v>1992.8270583727649</v>
      </c>
      <c r="L580" s="357">
        <f t="shared" ref="L580:L643" ca="1" si="261">SQRT(pos_x^2+pos_z^2)</f>
        <v>2071.3825125268727</v>
      </c>
      <c r="M580" s="359">
        <f t="shared" ca="1" si="248"/>
        <v>1.1734304428372713</v>
      </c>
      <c r="N580" s="357">
        <f t="shared" ca="1" si="249"/>
        <v>67.232611926742848</v>
      </c>
      <c r="O580" s="343"/>
      <c r="P580" s="363">
        <f t="shared" ca="1" si="250"/>
        <v>23</v>
      </c>
      <c r="Q580" s="357">
        <f t="shared" ca="1" si="251"/>
        <v>0</v>
      </c>
      <c r="R580" s="359">
        <f t="shared" ca="1" si="252"/>
        <v>0</v>
      </c>
      <c r="S580" s="360">
        <f t="shared" ca="1" si="253"/>
        <v>10.637999999999975</v>
      </c>
      <c r="T580" s="357">
        <f t="shared" ref="T580:T643" ca="1" si="262">m*g</f>
        <v>104.35877999999975</v>
      </c>
      <c r="U580" s="364">
        <f t="shared" ref="U580:U643" ca="1" si="263">IF(pos_xz&lt;L_rampe,Poids*COS(Beta),0)</f>
        <v>0</v>
      </c>
      <c r="V580" s="359">
        <f t="shared" ref="V580:V643" ca="1" si="264">Rho_moyen*(20000-Alt_rampe-pos_z)/(20000+Alt_rampe+pos_z)</f>
        <v>1.0029991503568656</v>
      </c>
      <c r="W580" s="357">
        <f t="shared" ref="W580:W643" ca="1" si="265">1/2*Rho*Sref*Cx*vit_xz^2</f>
        <v>30.001343439114134</v>
      </c>
      <c r="X580" s="343"/>
      <c r="Y580" s="367" t="str">
        <f t="shared" ca="1" si="254"/>
        <v/>
      </c>
      <c r="Z580" s="368" t="str">
        <f t="shared" ca="1" si="255"/>
        <v/>
      </c>
      <c r="AA580" s="369" t="str">
        <f t="shared" ca="1" si="256"/>
        <v/>
      </c>
      <c r="AB580" s="344"/>
      <c r="AC580" s="363" t="e">
        <f t="shared" ca="1" si="257"/>
        <v>#N/A</v>
      </c>
      <c r="AD580" s="376" t="e">
        <f t="shared" ca="1" si="258"/>
        <v>#N/A</v>
      </c>
      <c r="AE580" s="377">
        <f t="shared" ref="AE580:AE643" ca="1" si="266">IF(t&lt;T_para, pos_z, NA())</f>
        <v>1992.8270583727649</v>
      </c>
      <c r="AF580" s="344"/>
      <c r="AG580" s="359">
        <f t="shared" ca="1" si="259"/>
        <v>-11.940500338264403</v>
      </c>
      <c r="AH580" s="357">
        <f t="shared" ca="1" si="260"/>
        <v>-2.8824155972040879</v>
      </c>
    </row>
    <row r="581" spans="1:34" x14ac:dyDescent="0.25">
      <c r="A581" s="402">
        <f t="shared" ref="A581:A644" ca="1" si="267">IF(B580+0.01&lt;=T_ini+ROUNDUP(Temps_fin_propu,0), 0.01, IF(K580&gt;0, 0.1, 0.0001))</f>
        <v>0.1</v>
      </c>
      <c r="B581" s="357">
        <f t="shared" ref="B581:B644" ca="1" si="268">B580+pas</f>
        <v>12.69999999999991</v>
      </c>
      <c r="C581" s="342"/>
      <c r="D581" s="359">
        <f t="shared" ref="D581:D644" ca="1" si="269">IF(AND(L580&lt;L_rampe,Poussee&lt;Poids*SIN(M580)),0,(-W580+Poussee)/m*COS(M580)-U580/m*SIN(M580))</f>
        <v>-1.0913935209398804</v>
      </c>
      <c r="E581" s="360">
        <f t="shared" ref="E581:E644" ca="1" si="270">IF(AND(L580&lt;L_rampe,Poussee&lt;Poids*SIN(M580)),0,(-W580+Poussee)/m*SIN(M580)+U580/m*COS(M580)-Poids/m)</f>
        <v>-12.410464925560683</v>
      </c>
      <c r="F581" s="357">
        <f t="shared" ref="F581:F644" ca="1" si="271">SQRT(acc_x^2+acc_z^2)</f>
        <v>12.458361829956678</v>
      </c>
      <c r="G581" s="359">
        <f t="shared" ref="G581:G644" ca="1" si="272">G580+acc_x*pas</f>
        <v>44.182387518227927</v>
      </c>
      <c r="H581" s="360">
        <f t="shared" ref="H581:H644" ca="1" si="273">H580+acc_z*pas</f>
        <v>104.29243883234469</v>
      </c>
      <c r="I581" s="357">
        <f t="shared" ref="I581:I644" ca="1" si="274">SQRT(vit_x^2+vit_z^2)</f>
        <v>113.26515865176378</v>
      </c>
      <c r="J581" s="359">
        <f t="shared" ref="J581:J644" ca="1" si="275">J580+0.5*(vit_x+G580)*pas*(K580&gt;=0)</f>
        <v>569.45982608587735</v>
      </c>
      <c r="K581" s="360">
        <f t="shared" ref="K581:K644" ca="1" si="276">K580+0.5*(vit_z+H580)*pas</f>
        <v>2003.3183545806271</v>
      </c>
      <c r="L581" s="357">
        <f t="shared" ca="1" si="261"/>
        <v>2082.6831067940675</v>
      </c>
      <c r="M581" s="359">
        <f t="shared" ref="M581:M644" ca="1" si="277">IF(AND(L580&gt;L_rampe,G581&gt;0),ATAN2(G581,H581),$M$4)</f>
        <v>1.1700786733921507</v>
      </c>
      <c r="N581" s="357">
        <f t="shared" ref="N581:N644" ca="1" si="278">DEGREES(Beta)</f>
        <v>67.040569683636534</v>
      </c>
      <c r="O581" s="343"/>
      <c r="P581" s="363">
        <f t="shared" ref="P581:P644" ca="1" si="279">MATCH(t-pas/2-T_ini,CdP_t)</f>
        <v>23</v>
      </c>
      <c r="Q581" s="357">
        <f t="shared" ref="Q581:Q644" ca="1" si="280">(INDEX(CdP,2,i_P+1)-INDEX(CdP,2,i_P+0))/(INDEX(CdP,1,i_P+1)-INDEX(CdP,1,i_P+0))*(t-pas/2-T_ini-INDEX(CdP,1,i_P+0))+INDEX(CdP,2,i_P+0)</f>
        <v>0</v>
      </c>
      <c r="R581" s="359">
        <f t="shared" ref="R581:R644" ca="1" si="281">Poussee/(g*ISP)</f>
        <v>0</v>
      </c>
      <c r="S581" s="360">
        <f t="shared" ref="S581:S644" ca="1" si="282">S580-Débit*pas</f>
        <v>10.637999999999975</v>
      </c>
      <c r="T581" s="357">
        <f t="shared" ca="1" si="262"/>
        <v>104.35877999999975</v>
      </c>
      <c r="U581" s="364">
        <f t="shared" ca="1" si="263"/>
        <v>0</v>
      </c>
      <c r="V581" s="359">
        <f t="shared" ca="1" si="264"/>
        <v>1.0019368288169694</v>
      </c>
      <c r="W581" s="357">
        <f t="shared" ca="1" si="265"/>
        <v>29.351693147794041</v>
      </c>
      <c r="X581" s="343"/>
      <c r="Y581" s="367" t="str">
        <f t="shared" ref="Y581:Y644" ca="1" si="283">IF(AND(pos_z&lt;=0,K580&gt;0),"Impact balistique","") &amp; IF(AND(H582&lt;0,vit_z&gt;=0),"Apogée","") &amp; IF(AND(Poussee=0,Q580&gt;0),"Fin de propulsion","") &amp; IF(AND(L582&gt;L_rampe,pos_xz&lt;=L_rampe),"Sortie de rampe","")</f>
        <v/>
      </c>
      <c r="Z581" s="368" t="str">
        <f t="shared" ref="Z581:Z644" ca="1" si="284">IF(ABS(t-T_para)&lt;pas/2,"Para","")</f>
        <v/>
      </c>
      <c r="AA581" s="369" t="str">
        <f t="shared" ref="AA581:AA644" ca="1" si="285">IF(ABS(t-T_satellite)&lt;pas/2,"Satellite","")</f>
        <v/>
      </c>
      <c r="AB581" s="344"/>
      <c r="AC581" s="363" t="e">
        <f t="shared" ref="AC581:AC644" ca="1" si="286">IF(ABS(t-ROUND(t,0))&lt;0.001,t,NA())</f>
        <v>#N/A</v>
      </c>
      <c r="AD581" s="376" t="e">
        <f t="shared" ref="AD581:AD644" ca="1" si="287">IF(ABS(t-ROUND(t,0))&lt;0.001,pos_x,NA())</f>
        <v>#N/A</v>
      </c>
      <c r="AE581" s="377">
        <f t="shared" ca="1" si="266"/>
        <v>2003.3183545806271</v>
      </c>
      <c r="AF581" s="344"/>
      <c r="AG581" s="359">
        <f t="shared" ref="AG581:AG644" ca="1" si="288">IF(AND(L580&lt;L_rampe,Poussee&lt;Poids*SIN(M580)),0,(-W580+Poussee)/m-Poids*SIN(M580)/m)</f>
        <v>-11.86584507562196</v>
      </c>
      <c r="AH581" s="357">
        <f t="shared" ref="AH581:AH644" ca="1" si="289">IF(AND(L580&lt;L_rampe,Poussee&lt;Poids*SIN(M580)), g*SIN(M580), (-W580+Poussee)/m)</f>
        <v>-2.8202052490237079</v>
      </c>
    </row>
    <row r="582" spans="1:34" x14ac:dyDescent="0.25">
      <c r="A582" s="402">
        <f t="shared" ca="1" si="267"/>
        <v>0.1</v>
      </c>
      <c r="B582" s="357">
        <f t="shared" ca="1" si="268"/>
        <v>12.79999999999991</v>
      </c>
      <c r="C582" s="342"/>
      <c r="D582" s="359">
        <f t="shared" ca="1" si="269"/>
        <v>-1.0762818470304751</v>
      </c>
      <c r="E582" s="360">
        <f t="shared" ca="1" si="270"/>
        <v>-12.350561182925656</v>
      </c>
      <c r="F582" s="357">
        <f t="shared" ca="1" si="271"/>
        <v>12.397368436383477</v>
      </c>
      <c r="G582" s="359">
        <f t="shared" ca="1" si="272"/>
        <v>44.074759333524881</v>
      </c>
      <c r="H582" s="360">
        <f t="shared" ca="1" si="273"/>
        <v>103.05738271405212</v>
      </c>
      <c r="I582" s="357">
        <f t="shared" ca="1" si="274"/>
        <v>112.08661178828963</v>
      </c>
      <c r="J582" s="359">
        <f t="shared" ca="1" si="275"/>
        <v>573.87268342846494</v>
      </c>
      <c r="K582" s="360">
        <f t="shared" ca="1" si="276"/>
        <v>2013.6858456579469</v>
      </c>
      <c r="L582" s="357">
        <f t="shared" ca="1" si="261"/>
        <v>2093.8625890417325</v>
      </c>
      <c r="M582" s="359">
        <f t="shared" ca="1" si="277"/>
        <v>1.1666646306607871</v>
      </c>
      <c r="N582" s="357">
        <f t="shared" ca="1" si="278"/>
        <v>66.84495944405208</v>
      </c>
      <c r="O582" s="343"/>
      <c r="P582" s="363">
        <f t="shared" ca="1" si="279"/>
        <v>23</v>
      </c>
      <c r="Q582" s="357">
        <f t="shared" ca="1" si="280"/>
        <v>0</v>
      </c>
      <c r="R582" s="359">
        <f t="shared" ca="1" si="281"/>
        <v>0</v>
      </c>
      <c r="S582" s="360">
        <f t="shared" ca="1" si="282"/>
        <v>10.637999999999975</v>
      </c>
      <c r="T582" s="357">
        <f t="shared" ca="1" si="262"/>
        <v>104.35877999999975</v>
      </c>
      <c r="U582" s="364">
        <f t="shared" ca="1" si="263"/>
        <v>0</v>
      </c>
      <c r="V582" s="359">
        <f t="shared" ca="1" si="264"/>
        <v>1.0008880381753484</v>
      </c>
      <c r="W582" s="357">
        <f t="shared" ca="1" si="265"/>
        <v>28.713962191607976</v>
      </c>
      <c r="X582" s="343"/>
      <c r="Y582" s="367" t="str">
        <f t="shared" ca="1" si="283"/>
        <v/>
      </c>
      <c r="Z582" s="368" t="str">
        <f t="shared" ca="1" si="284"/>
        <v/>
      </c>
      <c r="AA582" s="369" t="str">
        <f t="shared" ca="1" si="285"/>
        <v/>
      </c>
      <c r="AB582" s="344"/>
      <c r="AC582" s="363" t="e">
        <f t="shared" ca="1" si="286"/>
        <v>#N/A</v>
      </c>
      <c r="AD582" s="376" t="e">
        <f t="shared" ca="1" si="287"/>
        <v>#N/A</v>
      </c>
      <c r="AE582" s="377">
        <f t="shared" ca="1" si="266"/>
        <v>2013.6858456579469</v>
      </c>
      <c r="AF582" s="344"/>
      <c r="AG582" s="359">
        <f t="shared" ca="1" si="288"/>
        <v>-11.792000861148669</v>
      </c>
      <c r="AH582" s="357">
        <f t="shared" ca="1" si="289"/>
        <v>-2.7591364117121744</v>
      </c>
    </row>
    <row r="583" spans="1:34" x14ac:dyDescent="0.25">
      <c r="A583" s="402">
        <f t="shared" ca="1" si="267"/>
        <v>0.1</v>
      </c>
      <c r="B583" s="357">
        <f t="shared" ca="1" si="268"/>
        <v>12.89999999999991</v>
      </c>
      <c r="C583" s="342"/>
      <c r="D583" s="359">
        <f t="shared" ca="1" si="269"/>
        <v>-1.0613762038459897</v>
      </c>
      <c r="E583" s="360">
        <f t="shared" ca="1" si="270"/>
        <v>-12.291752715099761</v>
      </c>
      <c r="F583" s="357">
        <f t="shared" ca="1" si="271"/>
        <v>12.337491813786661</v>
      </c>
      <c r="G583" s="359">
        <f t="shared" ca="1" si="272"/>
        <v>43.96862171314028</v>
      </c>
      <c r="H583" s="360">
        <f t="shared" ca="1" si="273"/>
        <v>101.82820744254215</v>
      </c>
      <c r="I583" s="357">
        <f t="shared" ca="1" si="274"/>
        <v>110.91538904189368</v>
      </c>
      <c r="J583" s="359">
        <f t="shared" ca="1" si="275"/>
        <v>578.27485248079824</v>
      </c>
      <c r="K583" s="360">
        <f t="shared" ca="1" si="276"/>
        <v>2023.9301251657766</v>
      </c>
      <c r="L583" s="357">
        <f t="shared" ca="1" si="261"/>
        <v>2104.9216034249935</v>
      </c>
      <c r="M583" s="359">
        <f t="shared" ca="1" si="277"/>
        <v>1.1631867531338937</v>
      </c>
      <c r="N583" s="357">
        <f t="shared" ca="1" si="278"/>
        <v>66.645691740097689</v>
      </c>
      <c r="O583" s="343"/>
      <c r="P583" s="363">
        <f t="shared" ca="1" si="279"/>
        <v>23</v>
      </c>
      <c r="Q583" s="357">
        <f t="shared" ca="1" si="280"/>
        <v>0</v>
      </c>
      <c r="R583" s="359">
        <f t="shared" ca="1" si="281"/>
        <v>0</v>
      </c>
      <c r="S583" s="360">
        <f t="shared" ca="1" si="282"/>
        <v>10.637999999999975</v>
      </c>
      <c r="T583" s="357">
        <f t="shared" ca="1" si="262"/>
        <v>104.35877999999975</v>
      </c>
      <c r="U583" s="364">
        <f t="shared" ca="1" si="263"/>
        <v>0</v>
      </c>
      <c r="V583" s="359">
        <f t="shared" ca="1" si="264"/>
        <v>0.99985268167509544</v>
      </c>
      <c r="W583" s="357">
        <f t="shared" ca="1" si="265"/>
        <v>28.087932459768169</v>
      </c>
      <c r="X583" s="343"/>
      <c r="Y583" s="367" t="str">
        <f t="shared" ca="1" si="283"/>
        <v/>
      </c>
      <c r="Z583" s="368" t="str">
        <f t="shared" ca="1" si="284"/>
        <v/>
      </c>
      <c r="AA583" s="369" t="str">
        <f t="shared" ca="1" si="285"/>
        <v/>
      </c>
      <c r="AB583" s="344"/>
      <c r="AC583" s="363" t="e">
        <f t="shared" ca="1" si="286"/>
        <v>#N/A</v>
      </c>
      <c r="AD583" s="376" t="e">
        <f t="shared" ca="1" si="287"/>
        <v>#N/A</v>
      </c>
      <c r="AE583" s="377">
        <f t="shared" ca="1" si="266"/>
        <v>2023.9301251657766</v>
      </c>
      <c r="AF583" s="344"/>
      <c r="AG583" s="359">
        <f t="shared" ca="1" si="288"/>
        <v>-11.718935415894164</v>
      </c>
      <c r="AH583" s="357">
        <f t="shared" ca="1" si="289"/>
        <v>-2.6991880232758079</v>
      </c>
    </row>
    <row r="584" spans="1:34" x14ac:dyDescent="0.25">
      <c r="A584" s="402">
        <f t="shared" ca="1" si="267"/>
        <v>0.1</v>
      </c>
      <c r="B584" s="357">
        <f t="shared" ca="1" si="268"/>
        <v>12.999999999999909</v>
      </c>
      <c r="C584" s="342"/>
      <c r="D584" s="359">
        <f t="shared" ca="1" si="269"/>
        <v>-1.0466725422145418</v>
      </c>
      <c r="E584" s="360">
        <f t="shared" ca="1" si="270"/>
        <v>-12.234019325608813</v>
      </c>
      <c r="F584" s="357">
        <f t="shared" ca="1" si="271"/>
        <v>12.278711344029379</v>
      </c>
      <c r="G584" s="359">
        <f t="shared" ca="1" si="272"/>
        <v>43.863954458918826</v>
      </c>
      <c r="H584" s="360">
        <f t="shared" ca="1" si="273"/>
        <v>100.60480550998128</v>
      </c>
      <c r="I584" s="357">
        <f t="shared" ca="1" si="274"/>
        <v>109.75141635749064</v>
      </c>
      <c r="J584" s="359">
        <f t="shared" ca="1" si="275"/>
        <v>582.66648128940119</v>
      </c>
      <c r="K584" s="360">
        <f t="shared" ca="1" si="276"/>
        <v>2034.0517758134029</v>
      </c>
      <c r="L584" s="357">
        <f t="shared" ca="1" si="261"/>
        <v>2115.8607834892705</v>
      </c>
      <c r="M584" s="359">
        <f t="shared" ca="1" si="277"/>
        <v>1.1596434294451725</v>
      </c>
      <c r="N584" s="357">
        <f t="shared" ca="1" si="278"/>
        <v>66.44267424728524</v>
      </c>
      <c r="O584" s="343"/>
      <c r="P584" s="363">
        <f t="shared" ca="1" si="279"/>
        <v>23</v>
      </c>
      <c r="Q584" s="357">
        <f t="shared" ca="1" si="280"/>
        <v>0</v>
      </c>
      <c r="R584" s="359">
        <f t="shared" ca="1" si="281"/>
        <v>0</v>
      </c>
      <c r="S584" s="360">
        <f t="shared" ca="1" si="282"/>
        <v>10.637999999999975</v>
      </c>
      <c r="T584" s="357">
        <f t="shared" ca="1" si="262"/>
        <v>104.35877999999975</v>
      </c>
      <c r="U584" s="364">
        <f t="shared" ca="1" si="263"/>
        <v>0</v>
      </c>
      <c r="V584" s="359">
        <f t="shared" ca="1" si="264"/>
        <v>0.99883066439858792</v>
      </c>
      <c r="W584" s="357">
        <f t="shared" ca="1" si="265"/>
        <v>27.473391610802974</v>
      </c>
      <c r="X584" s="343"/>
      <c r="Y584" s="367" t="str">
        <f t="shared" ca="1" si="283"/>
        <v/>
      </c>
      <c r="Z584" s="368" t="str">
        <f t="shared" ca="1" si="284"/>
        <v/>
      </c>
      <c r="AA584" s="369" t="str">
        <f t="shared" ca="1" si="285"/>
        <v/>
      </c>
      <c r="AB584" s="344"/>
      <c r="AC584" s="363">
        <f t="shared" ca="1" si="286"/>
        <v>12.999999999999909</v>
      </c>
      <c r="AD584" s="376">
        <f t="shared" ca="1" si="287"/>
        <v>582.66648128940119</v>
      </c>
      <c r="AE584" s="377">
        <f t="shared" ca="1" si="266"/>
        <v>2034.0517758134029</v>
      </c>
      <c r="AF584" s="344"/>
      <c r="AG584" s="359">
        <f t="shared" ca="1" si="288"/>
        <v>-11.646616560326052</v>
      </c>
      <c r="AH584" s="357">
        <f t="shared" ca="1" si="289"/>
        <v>-2.6403395807264745</v>
      </c>
    </row>
    <row r="585" spans="1:34" x14ac:dyDescent="0.25">
      <c r="A585" s="402">
        <f t="shared" ca="1" si="267"/>
        <v>0.1</v>
      </c>
      <c r="B585" s="357">
        <f t="shared" ca="1" si="268"/>
        <v>13.099999999999909</v>
      </c>
      <c r="C585" s="342"/>
      <c r="D585" s="359">
        <f t="shared" ca="1" si="269"/>
        <v>-1.0321669268946003</v>
      </c>
      <c r="E585" s="360">
        <f t="shared" ca="1" si="270"/>
        <v>-12.177341344732598</v>
      </c>
      <c r="F585" s="357">
        <f t="shared" ca="1" si="271"/>
        <v>12.221006946692608</v>
      </c>
      <c r="G585" s="359">
        <f t="shared" ca="1" si="272"/>
        <v>43.760737766229369</v>
      </c>
      <c r="H585" s="360">
        <f t="shared" ca="1" si="273"/>
        <v>99.387071375508015</v>
      </c>
      <c r="I585" s="357">
        <f t="shared" ca="1" si="274"/>
        <v>108.59462291681398</v>
      </c>
      <c r="J585" s="359">
        <f t="shared" ca="1" si="275"/>
        <v>587.04771590065855</v>
      </c>
      <c r="K585" s="360">
        <f t="shared" ca="1" si="276"/>
        <v>2044.0513696576772</v>
      </c>
      <c r="L585" s="357">
        <f t="shared" ca="1" si="261"/>
        <v>2126.6807523800103</v>
      </c>
      <c r="M585" s="359">
        <f t="shared" ca="1" si="277"/>
        <v>1.1560329965480547</v>
      </c>
      <c r="N585" s="357">
        <f t="shared" ca="1" si="278"/>
        <v>66.235811680065197</v>
      </c>
      <c r="O585" s="343"/>
      <c r="P585" s="363">
        <f t="shared" ca="1" si="279"/>
        <v>23</v>
      </c>
      <c r="Q585" s="357">
        <f t="shared" ca="1" si="280"/>
        <v>0</v>
      </c>
      <c r="R585" s="359">
        <f t="shared" ca="1" si="281"/>
        <v>0</v>
      </c>
      <c r="S585" s="360">
        <f t="shared" ca="1" si="282"/>
        <v>10.637999999999975</v>
      </c>
      <c r="T585" s="357">
        <f t="shared" ca="1" si="262"/>
        <v>104.35877999999975</v>
      </c>
      <c r="U585" s="364">
        <f t="shared" ca="1" si="263"/>
        <v>0</v>
      </c>
      <c r="V585" s="359">
        <f t="shared" ca="1" si="264"/>
        <v>0.99782189323173054</v>
      </c>
      <c r="W585" s="357">
        <f t="shared" ca="1" si="265"/>
        <v>26.870132901540877</v>
      </c>
      <c r="X585" s="343"/>
      <c r="Y585" s="367" t="str">
        <f t="shared" ca="1" si="283"/>
        <v/>
      </c>
      <c r="Z585" s="368" t="str">
        <f t="shared" ca="1" si="284"/>
        <v/>
      </c>
      <c r="AA585" s="369" t="str">
        <f t="shared" ca="1" si="285"/>
        <v/>
      </c>
      <c r="AB585" s="344"/>
      <c r="AC585" s="363" t="e">
        <f t="shared" ca="1" si="286"/>
        <v>#N/A</v>
      </c>
      <c r="AD585" s="376" t="e">
        <f t="shared" ca="1" si="287"/>
        <v>#N/A</v>
      </c>
      <c r="AE585" s="377">
        <f t="shared" ca="1" si="266"/>
        <v>2044.0513696576772</v>
      </c>
      <c r="AF585" s="344"/>
      <c r="AG585" s="359">
        <f t="shared" ca="1" si="288"/>
        <v>-11.575012176178442</v>
      </c>
      <c r="AH585" s="357">
        <f t="shared" ca="1" si="289"/>
        <v>-2.5825711234069408</v>
      </c>
    </row>
    <row r="586" spans="1:34" x14ac:dyDescent="0.25">
      <c r="A586" s="402">
        <f t="shared" ca="1" si="267"/>
        <v>0.1</v>
      </c>
      <c r="B586" s="357">
        <f t="shared" ca="1" si="268"/>
        <v>13.199999999999909</v>
      </c>
      <c r="C586" s="342"/>
      <c r="D586" s="359">
        <f t="shared" ca="1" si="269"/>
        <v>-1.0178555337261019</v>
      </c>
      <c r="E586" s="360">
        <f t="shared" ca="1" si="270"/>
        <v>-12.121699613493707</v>
      </c>
      <c r="F586" s="357">
        <f t="shared" ca="1" si="271"/>
        <v>12.164359062741873</v>
      </c>
      <c r="G586" s="359">
        <f t="shared" ca="1" si="272"/>
        <v>43.658952212856761</v>
      </c>
      <c r="H586" s="360">
        <f t="shared" ca="1" si="273"/>
        <v>98.17490141415864</v>
      </c>
      <c r="I586" s="357">
        <f t="shared" ca="1" si="274"/>
        <v>107.44494113732986</v>
      </c>
      <c r="J586" s="359">
        <f t="shared" ca="1" si="275"/>
        <v>591.41870039961282</v>
      </c>
      <c r="K586" s="360">
        <f t="shared" ca="1" si="276"/>
        <v>2053.9294682971604</v>
      </c>
      <c r="L586" s="357">
        <f t="shared" ca="1" si="261"/>
        <v>2137.3821230472158</v>
      </c>
      <c r="M586" s="359">
        <f t="shared" ca="1" si="277"/>
        <v>1.1523537378224233</v>
      </c>
      <c r="N586" s="357">
        <f t="shared" ca="1" si="278"/>
        <v>66.025005683349846</v>
      </c>
      <c r="O586" s="343"/>
      <c r="P586" s="363">
        <f t="shared" ca="1" si="279"/>
        <v>23</v>
      </c>
      <c r="Q586" s="357">
        <f t="shared" ca="1" si="280"/>
        <v>0</v>
      </c>
      <c r="R586" s="359">
        <f t="shared" ca="1" si="281"/>
        <v>0</v>
      </c>
      <c r="S586" s="360">
        <f t="shared" ca="1" si="282"/>
        <v>10.637999999999975</v>
      </c>
      <c r="T586" s="357">
        <f t="shared" ca="1" si="262"/>
        <v>104.35877999999975</v>
      </c>
      <c r="U586" s="364">
        <f t="shared" ca="1" si="263"/>
        <v>0</v>
      </c>
      <c r="V586" s="359">
        <f t="shared" ca="1" si="264"/>
        <v>0.99682627682917935</v>
      </c>
      <c r="W586" s="357">
        <f t="shared" ca="1" si="265"/>
        <v>26.277955022206029</v>
      </c>
      <c r="X586" s="343"/>
      <c r="Y586" s="367" t="str">
        <f t="shared" ca="1" si="283"/>
        <v/>
      </c>
      <c r="Z586" s="368" t="str">
        <f t="shared" ca="1" si="284"/>
        <v/>
      </c>
      <c r="AA586" s="369" t="str">
        <f t="shared" ca="1" si="285"/>
        <v/>
      </c>
      <c r="AB586" s="344"/>
      <c r="AC586" s="363" t="e">
        <f t="shared" ca="1" si="286"/>
        <v>#N/A</v>
      </c>
      <c r="AD586" s="376" t="e">
        <f t="shared" ca="1" si="287"/>
        <v>#N/A</v>
      </c>
      <c r="AE586" s="377">
        <f t="shared" ca="1" si="266"/>
        <v>2053.9294682971604</v>
      </c>
      <c r="AF586" s="344"/>
      <c r="AG586" s="359">
        <f t="shared" ca="1" si="288"/>
        <v>-11.504090167807295</v>
      </c>
      <c r="AH586" s="357">
        <f t="shared" ca="1" si="289"/>
        <v>-2.5258632169149222</v>
      </c>
    </row>
    <row r="587" spans="1:34" x14ac:dyDescent="0.25">
      <c r="A587" s="402">
        <f t="shared" ca="1" si="267"/>
        <v>0.1</v>
      </c>
      <c r="B587" s="357">
        <f t="shared" ca="1" si="268"/>
        <v>13.299999999999908</v>
      </c>
      <c r="C587" s="342"/>
      <c r="D587" s="359">
        <f t="shared" ca="1" si="269"/>
        <v>-1.0037346469132662</v>
      </c>
      <c r="E587" s="360">
        <f t="shared" ca="1" si="270"/>
        <v>-12.067075468193821</v>
      </c>
      <c r="F587" s="357">
        <f t="shared" ca="1" si="271"/>
        <v>12.108748638752859</v>
      </c>
      <c r="G587" s="359">
        <f t="shared" ca="1" si="272"/>
        <v>43.558578748165431</v>
      </c>
      <c r="H587" s="360">
        <f t="shared" ca="1" si="273"/>
        <v>96.968193867339252</v>
      </c>
      <c r="I587" s="357">
        <f t="shared" ca="1" si="274"/>
        <v>106.30230667513297</v>
      </c>
      <c r="J587" s="359">
        <f t="shared" ca="1" si="275"/>
        <v>595.77957694766394</v>
      </c>
      <c r="K587" s="360">
        <f t="shared" ca="1" si="276"/>
        <v>2063.6866230612354</v>
      </c>
      <c r="L587" s="357">
        <f t="shared" ca="1" si="261"/>
        <v>2147.9654984449407</v>
      </c>
      <c r="M587" s="359">
        <f t="shared" ca="1" si="277"/>
        <v>1.1486038811089831</v>
      </c>
      <c r="N587" s="357">
        <f t="shared" ca="1" si="278"/>
        <v>65.810154719890917</v>
      </c>
      <c r="O587" s="343"/>
      <c r="P587" s="363">
        <f t="shared" ca="1" si="279"/>
        <v>23</v>
      </c>
      <c r="Q587" s="357">
        <f t="shared" ca="1" si="280"/>
        <v>0</v>
      </c>
      <c r="R587" s="359">
        <f t="shared" ca="1" si="281"/>
        <v>0</v>
      </c>
      <c r="S587" s="360">
        <f t="shared" ca="1" si="282"/>
        <v>10.637999999999975</v>
      </c>
      <c r="T587" s="357">
        <f t="shared" ca="1" si="262"/>
        <v>104.35877999999975</v>
      </c>
      <c r="U587" s="364">
        <f t="shared" ca="1" si="263"/>
        <v>0</v>
      </c>
      <c r="V587" s="359">
        <f t="shared" ca="1" si="264"/>
        <v>0.99584372558050216</v>
      </c>
      <c r="W587" s="357">
        <f t="shared" ca="1" si="265"/>
        <v>25.696661937378696</v>
      </c>
      <c r="X587" s="343"/>
      <c r="Y587" s="367" t="str">
        <f t="shared" ca="1" si="283"/>
        <v/>
      </c>
      <c r="Z587" s="368" t="str">
        <f t="shared" ca="1" si="284"/>
        <v/>
      </c>
      <c r="AA587" s="369" t="str">
        <f t="shared" ca="1" si="285"/>
        <v/>
      </c>
      <c r="AB587" s="344"/>
      <c r="AC587" s="363" t="e">
        <f t="shared" ca="1" si="286"/>
        <v>#N/A</v>
      </c>
      <c r="AD587" s="376" t="e">
        <f t="shared" ca="1" si="287"/>
        <v>#N/A</v>
      </c>
      <c r="AE587" s="377">
        <f t="shared" ca="1" si="266"/>
        <v>2063.6866230612354</v>
      </c>
      <c r="AF587" s="344"/>
      <c r="AG587" s="359">
        <f t="shared" ca="1" si="288"/>
        <v>-11.433818422971733</v>
      </c>
      <c r="AH587" s="357">
        <f t="shared" ca="1" si="289"/>
        <v>-2.4701969376016253</v>
      </c>
    </row>
    <row r="588" spans="1:34" x14ac:dyDescent="0.25">
      <c r="A588" s="402">
        <f t="shared" ca="1" si="267"/>
        <v>0.1</v>
      </c>
      <c r="B588" s="357">
        <f t="shared" ca="1" si="268"/>
        <v>13.399999999999908</v>
      </c>
      <c r="C588" s="342"/>
      <c r="D588" s="359">
        <f t="shared" ca="1" si="269"/>
        <v>-0.98980065643542037</v>
      </c>
      <c r="E588" s="360">
        <f t="shared" ca="1" si="270"/>
        <v>-12.013450725473724</v>
      </c>
      <c r="F588" s="357">
        <f t="shared" ca="1" si="271"/>
        <v>12.054157111671689</v>
      </c>
      <c r="G588" s="359">
        <f t="shared" ca="1" si="272"/>
        <v>43.459598682521886</v>
      </c>
      <c r="H588" s="360">
        <f t="shared" ca="1" si="273"/>
        <v>95.766848794791883</v>
      </c>
      <c r="I588" s="357">
        <f t="shared" ca="1" si="274"/>
        <v>105.1666584318927</v>
      </c>
      <c r="J588" s="359">
        <f t="shared" ca="1" si="275"/>
        <v>600.13048581919827</v>
      </c>
      <c r="K588" s="360">
        <f t="shared" ca="1" si="276"/>
        <v>2073.3233751943421</v>
      </c>
      <c r="L588" s="357">
        <f t="shared" ca="1" si="261"/>
        <v>2158.4314717259026</v>
      </c>
      <c r="M588" s="359">
        <f t="shared" ca="1" si="277"/>
        <v>1.1447815966689461</v>
      </c>
      <c r="N588" s="357">
        <f t="shared" ca="1" si="278"/>
        <v>65.591153953378267</v>
      </c>
      <c r="O588" s="343"/>
      <c r="P588" s="363">
        <f t="shared" ca="1" si="279"/>
        <v>23</v>
      </c>
      <c r="Q588" s="357">
        <f t="shared" ca="1" si="280"/>
        <v>0</v>
      </c>
      <c r="R588" s="359">
        <f t="shared" ca="1" si="281"/>
        <v>0</v>
      </c>
      <c r="S588" s="360">
        <f t="shared" ca="1" si="282"/>
        <v>10.637999999999975</v>
      </c>
      <c r="T588" s="357">
        <f t="shared" ca="1" si="262"/>
        <v>104.35877999999975</v>
      </c>
      <c r="U588" s="364">
        <f t="shared" ca="1" si="263"/>
        <v>0</v>
      </c>
      <c r="V588" s="359">
        <f t="shared" ca="1" si="264"/>
        <v>0.99487415157725834</v>
      </c>
      <c r="W588" s="357">
        <f t="shared" ca="1" si="265"/>
        <v>25.126062732585904</v>
      </c>
      <c r="X588" s="343"/>
      <c r="Y588" s="367" t="str">
        <f t="shared" ca="1" si="283"/>
        <v/>
      </c>
      <c r="Z588" s="368" t="str">
        <f t="shared" ca="1" si="284"/>
        <v/>
      </c>
      <c r="AA588" s="369" t="str">
        <f t="shared" ca="1" si="285"/>
        <v/>
      </c>
      <c r="AB588" s="344"/>
      <c r="AC588" s="363" t="e">
        <f t="shared" ca="1" si="286"/>
        <v>#N/A</v>
      </c>
      <c r="AD588" s="376" t="e">
        <f t="shared" ca="1" si="287"/>
        <v>#N/A</v>
      </c>
      <c r="AE588" s="377">
        <f t="shared" ca="1" si="266"/>
        <v>2073.3233751943421</v>
      </c>
      <c r="AF588" s="344"/>
      <c r="AG588" s="359">
        <f t="shared" ca="1" si="288"/>
        <v>-11.364164772958635</v>
      </c>
      <c r="AH588" s="357">
        <f t="shared" ca="1" si="289"/>
        <v>-2.4155538576216165</v>
      </c>
    </row>
    <row r="589" spans="1:34" x14ac:dyDescent="0.25">
      <c r="A589" s="402">
        <f t="shared" ca="1" si="267"/>
        <v>0.1</v>
      </c>
      <c r="B589" s="357">
        <f t="shared" ca="1" si="268"/>
        <v>13.499999999999908</v>
      </c>
      <c r="C589" s="342"/>
      <c r="D589" s="359">
        <f t="shared" ca="1" si="269"/>
        <v>-0.97605005558239677</v>
      </c>
      <c r="E589" s="360">
        <f t="shared" ca="1" si="270"/>
        <v>-11.960807667874294</v>
      </c>
      <c r="F589" s="357">
        <f t="shared" ca="1" si="271"/>
        <v>12.000566394086693</v>
      </c>
      <c r="G589" s="359">
        <f t="shared" ca="1" si="272"/>
        <v>43.36199367696365</v>
      </c>
      <c r="H589" s="360">
        <f t="shared" ca="1" si="273"/>
        <v>94.570768028004451</v>
      </c>
      <c r="I589" s="357">
        <f t="shared" ca="1" si="274"/>
        <v>104.03793856592731</v>
      </c>
      <c r="J589" s="359">
        <f t="shared" ca="1" si="275"/>
        <v>604.47156543717256</v>
      </c>
      <c r="K589" s="360">
        <f t="shared" ca="1" si="276"/>
        <v>2082.8402560354821</v>
      </c>
      <c r="L589" s="357">
        <f t="shared" ca="1" si="261"/>
        <v>2168.780626431364</v>
      </c>
      <c r="M589" s="359">
        <f t="shared" ca="1" si="277"/>
        <v>1.1408849950666955</v>
      </c>
      <c r="N589" s="357">
        <f t="shared" ca="1" si="278"/>
        <v>65.367895127125394</v>
      </c>
      <c r="O589" s="343"/>
      <c r="P589" s="363">
        <f t="shared" ca="1" si="279"/>
        <v>23</v>
      </c>
      <c r="Q589" s="357">
        <f t="shared" ca="1" si="280"/>
        <v>0</v>
      </c>
      <c r="R589" s="359">
        <f t="shared" ca="1" si="281"/>
        <v>0</v>
      </c>
      <c r="S589" s="360">
        <f t="shared" ca="1" si="282"/>
        <v>10.637999999999975</v>
      </c>
      <c r="T589" s="357">
        <f t="shared" ca="1" si="262"/>
        <v>104.35877999999975</v>
      </c>
      <c r="U589" s="364">
        <f t="shared" ca="1" si="263"/>
        <v>0</v>
      </c>
      <c r="V589" s="359">
        <f t="shared" ca="1" si="264"/>
        <v>0.99391746858096153</v>
      </c>
      <c r="W589" s="357">
        <f t="shared" ca="1" si="265"/>
        <v>24.565971466297825</v>
      </c>
      <c r="X589" s="343"/>
      <c r="Y589" s="367" t="str">
        <f t="shared" ca="1" si="283"/>
        <v/>
      </c>
      <c r="Z589" s="368" t="str">
        <f t="shared" ca="1" si="284"/>
        <v/>
      </c>
      <c r="AA589" s="369" t="str">
        <f t="shared" ca="1" si="285"/>
        <v/>
      </c>
      <c r="AB589" s="344"/>
      <c r="AC589" s="363" t="e">
        <f t="shared" ca="1" si="286"/>
        <v>#N/A</v>
      </c>
      <c r="AD589" s="376" t="e">
        <f t="shared" ca="1" si="287"/>
        <v>#N/A</v>
      </c>
      <c r="AE589" s="377">
        <f t="shared" ca="1" si="266"/>
        <v>2082.8402560354821</v>
      </c>
      <c r="AF589" s="344"/>
      <c r="AG589" s="359">
        <f t="shared" ca="1" si="288"/>
        <v>-11.295096951966459</v>
      </c>
      <c r="AH589" s="357">
        <f t="shared" ca="1" si="289"/>
        <v>-2.3619160305119347</v>
      </c>
    </row>
    <row r="590" spans="1:34" x14ac:dyDescent="0.25">
      <c r="A590" s="402">
        <f t="shared" ca="1" si="267"/>
        <v>0.1</v>
      </c>
      <c r="B590" s="357">
        <f t="shared" ca="1" si="268"/>
        <v>13.599999999999907</v>
      </c>
      <c r="C590" s="342"/>
      <c r="D590" s="359">
        <f t="shared" ca="1" si="269"/>
        <v>-0.96247943861134311</v>
      </c>
      <c r="E590" s="360">
        <f t="shared" ca="1" si="270"/>
        <v>-11.909129029876539</v>
      </c>
      <c r="F590" s="357">
        <f t="shared" ca="1" si="271"/>
        <v>11.947958859989336</v>
      </c>
      <c r="G590" s="359">
        <f t="shared" ca="1" si="272"/>
        <v>43.265745733102513</v>
      </c>
      <c r="H590" s="360">
        <f t="shared" ca="1" si="273"/>
        <v>93.379855125016803</v>
      </c>
      <c r="I590" s="357">
        <f t="shared" ca="1" si="274"/>
        <v>102.91609250749177</v>
      </c>
      <c r="J590" s="359">
        <f t="shared" ca="1" si="275"/>
        <v>608.80295240767589</v>
      </c>
      <c r="K590" s="360">
        <f t="shared" ca="1" si="276"/>
        <v>2092.237787193133</v>
      </c>
      <c r="L590" s="357">
        <f t="shared" ca="1" si="261"/>
        <v>2179.0135366764293</v>
      </c>
      <c r="M590" s="359">
        <f t="shared" ca="1" si="277"/>
        <v>1.1369121249731211</v>
      </c>
      <c r="N590" s="357">
        <f t="shared" ca="1" si="278"/>
        <v>65.140266438209835</v>
      </c>
      <c r="O590" s="343"/>
      <c r="P590" s="363">
        <f t="shared" ca="1" si="279"/>
        <v>23</v>
      </c>
      <c r="Q590" s="357">
        <f t="shared" ca="1" si="280"/>
        <v>0</v>
      </c>
      <c r="R590" s="359">
        <f t="shared" ca="1" si="281"/>
        <v>0</v>
      </c>
      <c r="S590" s="360">
        <f t="shared" ca="1" si="282"/>
        <v>10.637999999999975</v>
      </c>
      <c r="T590" s="357">
        <f t="shared" ca="1" si="262"/>
        <v>104.35877999999975</v>
      </c>
      <c r="U590" s="364">
        <f t="shared" ca="1" si="263"/>
        <v>0</v>
      </c>
      <c r="V590" s="359">
        <f t="shared" ca="1" si="264"/>
        <v>0.99297359199190316</v>
      </c>
      <c r="W590" s="357">
        <f t="shared" ca="1" si="265"/>
        <v>24.016207027115463</v>
      </c>
      <c r="X590" s="343"/>
      <c r="Y590" s="367" t="str">
        <f t="shared" ca="1" si="283"/>
        <v/>
      </c>
      <c r="Z590" s="368" t="str">
        <f t="shared" ca="1" si="284"/>
        <v/>
      </c>
      <c r="AA590" s="369" t="str">
        <f t="shared" ca="1" si="285"/>
        <v/>
      </c>
      <c r="AB590" s="344"/>
      <c r="AC590" s="363" t="e">
        <f t="shared" ca="1" si="286"/>
        <v>#N/A</v>
      </c>
      <c r="AD590" s="376" t="e">
        <f t="shared" ca="1" si="287"/>
        <v>#N/A</v>
      </c>
      <c r="AE590" s="377">
        <f t="shared" ca="1" si="266"/>
        <v>2092.237787193133</v>
      </c>
      <c r="AF590" s="344"/>
      <c r="AG590" s="359">
        <f t="shared" ca="1" si="288"/>
        <v>-11.226582555662249</v>
      </c>
      <c r="AH590" s="357">
        <f t="shared" ca="1" si="289"/>
        <v>-2.3092659772793649</v>
      </c>
    </row>
    <row r="591" spans="1:34" x14ac:dyDescent="0.25">
      <c r="A591" s="402">
        <f t="shared" ca="1" si="267"/>
        <v>0.1</v>
      </c>
      <c r="B591" s="357">
        <f t="shared" ca="1" si="268"/>
        <v>13.699999999999907</v>
      </c>
      <c r="C591" s="342"/>
      <c r="D591" s="359">
        <f t="shared" ca="1" si="269"/>
        <v>-0.94908549852198509</v>
      </c>
      <c r="E591" s="360">
        <f t="shared" ca="1" si="270"/>
        <v>-11.858397984399705</v>
      </c>
      <c r="F591" s="357">
        <f t="shared" ca="1" si="271"/>
        <v>11.896317331002889</v>
      </c>
      <c r="G591" s="359">
        <f t="shared" ca="1" si="272"/>
        <v>43.170837183250313</v>
      </c>
      <c r="H591" s="360">
        <f t="shared" ca="1" si="273"/>
        <v>92.194015326576832</v>
      </c>
      <c r="I591" s="357">
        <f t="shared" ca="1" si="274"/>
        <v>101.80106897837464</v>
      </c>
      <c r="J591" s="359">
        <f t="shared" ca="1" si="275"/>
        <v>613.12478155349356</v>
      </c>
      <c r="K591" s="360">
        <f t="shared" ca="1" si="276"/>
        <v>2101.5164807157125</v>
      </c>
      <c r="L591" s="357">
        <f t="shared" ca="1" si="261"/>
        <v>2189.1307673308997</v>
      </c>
      <c r="M591" s="359">
        <f t="shared" ca="1" si="277"/>
        <v>1.1328609708873452</v>
      </c>
      <c r="N591" s="357">
        <f t="shared" ca="1" si="278"/>
        <v>64.908152406937702</v>
      </c>
      <c r="O591" s="343"/>
      <c r="P591" s="363">
        <f t="shared" ca="1" si="279"/>
        <v>23</v>
      </c>
      <c r="Q591" s="357">
        <f t="shared" ca="1" si="280"/>
        <v>0</v>
      </c>
      <c r="R591" s="359">
        <f t="shared" ca="1" si="281"/>
        <v>0</v>
      </c>
      <c r="S591" s="360">
        <f t="shared" ca="1" si="282"/>
        <v>10.637999999999975</v>
      </c>
      <c r="T591" s="357">
        <f t="shared" ca="1" si="262"/>
        <v>104.35877999999975</v>
      </c>
      <c r="U591" s="364">
        <f t="shared" ca="1" si="263"/>
        <v>0</v>
      </c>
      <c r="V591" s="359">
        <f t="shared" ca="1" si="264"/>
        <v>0.99204243881880616</v>
      </c>
      <c r="W591" s="357">
        <f t="shared" ca="1" si="265"/>
        <v>23.476592995944973</v>
      </c>
      <c r="X591" s="343"/>
      <c r="Y591" s="367" t="str">
        <f t="shared" ca="1" si="283"/>
        <v/>
      </c>
      <c r="Z591" s="368" t="str">
        <f t="shared" ca="1" si="284"/>
        <v/>
      </c>
      <c r="AA591" s="369" t="str">
        <f t="shared" ca="1" si="285"/>
        <v/>
      </c>
      <c r="AB591" s="344"/>
      <c r="AC591" s="363" t="e">
        <f t="shared" ca="1" si="286"/>
        <v>#N/A</v>
      </c>
      <c r="AD591" s="376" t="e">
        <f t="shared" ca="1" si="287"/>
        <v>#N/A</v>
      </c>
      <c r="AE591" s="377">
        <f t="shared" ca="1" si="266"/>
        <v>2101.5164807157125</v>
      </c>
      <c r="AF591" s="344"/>
      <c r="AG591" s="359">
        <f t="shared" ca="1" si="288"/>
        <v>-11.158588998824115</v>
      </c>
      <c r="AH591" s="357">
        <f t="shared" ca="1" si="289"/>
        <v>-2.2575866729757021</v>
      </c>
    </row>
    <row r="592" spans="1:34" x14ac:dyDescent="0.25">
      <c r="A592" s="402">
        <f t="shared" ca="1" si="267"/>
        <v>0.1</v>
      </c>
      <c r="B592" s="357">
        <f t="shared" ca="1" si="268"/>
        <v>13.799999999999907</v>
      </c>
      <c r="C592" s="342"/>
      <c r="D592" s="359">
        <f t="shared" ca="1" si="269"/>
        <v>-0.935865024947653</v>
      </c>
      <c r="E592" s="360">
        <f t="shared" ca="1" si="270"/>
        <v>-11.808598129737153</v>
      </c>
      <c r="F592" s="357">
        <f t="shared" ca="1" si="271"/>
        <v>11.845625063058177</v>
      </c>
      <c r="G592" s="359">
        <f t="shared" ca="1" si="272"/>
        <v>43.077250680755547</v>
      </c>
      <c r="H592" s="360">
        <f t="shared" ca="1" si="273"/>
        <v>91.01315551360311</v>
      </c>
      <c r="I592" s="357">
        <f t="shared" ca="1" si="274"/>
        <v>100.69282001590759</v>
      </c>
      <c r="J592" s="359">
        <f t="shared" ca="1" si="275"/>
        <v>617.43718594669383</v>
      </c>
      <c r="K592" s="360">
        <f t="shared" ca="1" si="276"/>
        <v>2110.6768392577214</v>
      </c>
      <c r="L592" s="357">
        <f t="shared" ca="1" si="261"/>
        <v>2199.1328741958132</v>
      </c>
      <c r="M592" s="359">
        <f t="shared" ca="1" si="277"/>
        <v>1.1287294507746248</v>
      </c>
      <c r="N592" s="357">
        <f t="shared" ca="1" si="278"/>
        <v>64.67143374150541</v>
      </c>
      <c r="O592" s="343"/>
      <c r="P592" s="363">
        <f t="shared" ca="1" si="279"/>
        <v>23</v>
      </c>
      <c r="Q592" s="357">
        <f t="shared" ca="1" si="280"/>
        <v>0</v>
      </c>
      <c r="R592" s="359">
        <f t="shared" ca="1" si="281"/>
        <v>0</v>
      </c>
      <c r="S592" s="360">
        <f t="shared" ca="1" si="282"/>
        <v>10.637999999999975</v>
      </c>
      <c r="T592" s="357">
        <f t="shared" ca="1" si="262"/>
        <v>104.35877999999975</v>
      </c>
      <c r="U592" s="364">
        <f t="shared" ca="1" si="263"/>
        <v>0</v>
      </c>
      <c r="V592" s="359">
        <f t="shared" ca="1" si="264"/>
        <v>0.99112392764928958</v>
      </c>
      <c r="W592" s="357">
        <f t="shared" ca="1" si="265"/>
        <v>22.946957512962708</v>
      </c>
      <c r="X592" s="343"/>
      <c r="Y592" s="367" t="str">
        <f t="shared" ca="1" si="283"/>
        <v/>
      </c>
      <c r="Z592" s="368" t="str">
        <f t="shared" ca="1" si="284"/>
        <v/>
      </c>
      <c r="AA592" s="369" t="str">
        <f t="shared" ca="1" si="285"/>
        <v/>
      </c>
      <c r="AB592" s="344"/>
      <c r="AC592" s="363" t="e">
        <f t="shared" ca="1" si="286"/>
        <v>#N/A</v>
      </c>
      <c r="AD592" s="376" t="e">
        <f t="shared" ca="1" si="287"/>
        <v>#N/A</v>
      </c>
      <c r="AE592" s="377">
        <f t="shared" ca="1" si="266"/>
        <v>2110.6768392577214</v>
      </c>
      <c r="AF592" s="344"/>
      <c r="AG592" s="359">
        <f t="shared" ca="1" si="288"/>
        <v>-11.091083471979413</v>
      </c>
      <c r="AH592" s="357">
        <f t="shared" ca="1" si="289"/>
        <v>-2.2068615337417774</v>
      </c>
    </row>
    <row r="593" spans="1:34" x14ac:dyDescent="0.25">
      <c r="A593" s="402">
        <f t="shared" ca="1" si="267"/>
        <v>0.1</v>
      </c>
      <c r="B593" s="357">
        <f t="shared" ca="1" si="268"/>
        <v>13.899999999999906</v>
      </c>
      <c r="C593" s="342"/>
      <c r="D593" s="359">
        <f t="shared" ca="1" si="269"/>
        <v>-0.92281490215956985</v>
      </c>
      <c r="E593" s="360">
        <f t="shared" ca="1" si="270"/>
        <v>-11.759713476910461</v>
      </c>
      <c r="F593" s="357">
        <f t="shared" ca="1" si="271"/>
        <v>11.795865733496514</v>
      </c>
      <c r="G593" s="359">
        <f t="shared" ca="1" si="272"/>
        <v>42.984969190539587</v>
      </c>
      <c r="H593" s="360">
        <f t="shared" ca="1" si="273"/>
        <v>89.837184165912063</v>
      </c>
      <c r="I593" s="357">
        <f t="shared" ca="1" si="274"/>
        <v>99.591301001501321</v>
      </c>
      <c r="J593" s="359">
        <f t="shared" ca="1" si="275"/>
        <v>621.74029694025853</v>
      </c>
      <c r="K593" s="360">
        <f t="shared" ca="1" si="276"/>
        <v>2119.7193562416974</v>
      </c>
      <c r="L593" s="357">
        <f t="shared" ca="1" si="261"/>
        <v>2209.0204041758138</v>
      </c>
      <c r="M593" s="359">
        <f t="shared" ca="1" si="277"/>
        <v>1.1245154136182869</v>
      </c>
      <c r="N593" s="357">
        <f t="shared" ca="1" si="278"/>
        <v>64.42998719773594</v>
      </c>
      <c r="O593" s="343"/>
      <c r="P593" s="363">
        <f t="shared" ca="1" si="279"/>
        <v>23</v>
      </c>
      <c r="Q593" s="357">
        <f t="shared" ca="1" si="280"/>
        <v>0</v>
      </c>
      <c r="R593" s="359">
        <f t="shared" ca="1" si="281"/>
        <v>0</v>
      </c>
      <c r="S593" s="360">
        <f t="shared" ca="1" si="282"/>
        <v>10.637999999999975</v>
      </c>
      <c r="T593" s="357">
        <f t="shared" ca="1" si="262"/>
        <v>104.35877999999975</v>
      </c>
      <c r="U593" s="364">
        <f t="shared" ca="1" si="263"/>
        <v>0</v>
      </c>
      <c r="V593" s="359">
        <f t="shared" ca="1" si="264"/>
        <v>0.99021797862111116</v>
      </c>
      <c r="W593" s="357">
        <f t="shared" ca="1" si="265"/>
        <v>22.427133149184026</v>
      </c>
      <c r="X593" s="343"/>
      <c r="Y593" s="367" t="str">
        <f t="shared" ca="1" si="283"/>
        <v/>
      </c>
      <c r="Z593" s="368" t="str">
        <f t="shared" ca="1" si="284"/>
        <v/>
      </c>
      <c r="AA593" s="369" t="str">
        <f t="shared" ca="1" si="285"/>
        <v/>
      </c>
      <c r="AB593" s="344"/>
      <c r="AC593" s="363" t="e">
        <f t="shared" ca="1" si="286"/>
        <v>#N/A</v>
      </c>
      <c r="AD593" s="376" t="e">
        <f t="shared" ca="1" si="287"/>
        <v>#N/A</v>
      </c>
      <c r="AE593" s="377">
        <f t="shared" ca="1" si="266"/>
        <v>2119.7193562416974</v>
      </c>
      <c r="AF593" s="344"/>
      <c r="AG593" s="359">
        <f t="shared" ca="1" si="288"/>
        <v>-11.024032896947023</v>
      </c>
      <c r="AH593" s="357">
        <f t="shared" ca="1" si="289"/>
        <v>-2.1570744043018202</v>
      </c>
    </row>
    <row r="594" spans="1:34" x14ac:dyDescent="0.25">
      <c r="A594" s="402">
        <f t="shared" ca="1" si="267"/>
        <v>0.1</v>
      </c>
      <c r="B594" s="357">
        <f t="shared" ca="1" si="268"/>
        <v>13.999999999999906</v>
      </c>
      <c r="C594" s="342"/>
      <c r="D594" s="359">
        <f t="shared" ca="1" si="269"/>
        <v>-0.90993210718215523</v>
      </c>
      <c r="E594" s="360">
        <f t="shared" ca="1" si="270"/>
        <v>-11.711728437422979</v>
      </c>
      <c r="F594" s="357">
        <f t="shared" ca="1" si="271"/>
        <v>11.747023428580665</v>
      </c>
      <c r="G594" s="359">
        <f t="shared" ca="1" si="272"/>
        <v>42.89397597982137</v>
      </c>
      <c r="H594" s="360">
        <f t="shared" ca="1" si="273"/>
        <v>88.666011322169766</v>
      </c>
      <c r="I594" s="357">
        <f t="shared" ca="1" si="274"/>
        <v>98.496470693830602</v>
      </c>
      <c r="J594" s="359">
        <f t="shared" ca="1" si="275"/>
        <v>626.03424419877661</v>
      </c>
      <c r="K594" s="360">
        <f t="shared" ca="1" si="276"/>
        <v>2128.6445160161015</v>
      </c>
      <c r="L594" s="357">
        <f t="shared" ca="1" si="261"/>
        <v>2218.7938954474694</v>
      </c>
      <c r="M594" s="359">
        <f t="shared" ca="1" si="277"/>
        <v>1.1202166368836628</v>
      </c>
      <c r="N594" s="357">
        <f t="shared" ca="1" si="278"/>
        <v>64.183685433772951</v>
      </c>
      <c r="O594" s="343"/>
      <c r="P594" s="363">
        <f t="shared" ca="1" si="279"/>
        <v>23</v>
      </c>
      <c r="Q594" s="357">
        <f t="shared" ca="1" si="280"/>
        <v>0</v>
      </c>
      <c r="R594" s="359">
        <f t="shared" ca="1" si="281"/>
        <v>0</v>
      </c>
      <c r="S594" s="360">
        <f t="shared" ca="1" si="282"/>
        <v>10.637999999999975</v>
      </c>
      <c r="T594" s="357">
        <f t="shared" ca="1" si="262"/>
        <v>104.35877999999975</v>
      </c>
      <c r="U594" s="364">
        <f t="shared" ca="1" si="263"/>
        <v>0</v>
      </c>
      <c r="V594" s="359">
        <f t="shared" ca="1" si="264"/>
        <v>0.98932451339417349</v>
      </c>
      <c r="W594" s="357">
        <f t="shared" ca="1" si="265"/>
        <v>21.916956782456865</v>
      </c>
      <c r="X594" s="343"/>
      <c r="Y594" s="367" t="str">
        <f t="shared" ca="1" si="283"/>
        <v/>
      </c>
      <c r="Z594" s="368" t="str">
        <f t="shared" ca="1" si="284"/>
        <v/>
      </c>
      <c r="AA594" s="369" t="str">
        <f t="shared" ca="1" si="285"/>
        <v/>
      </c>
      <c r="AB594" s="344"/>
      <c r="AC594" s="363">
        <f t="shared" ca="1" si="286"/>
        <v>13.999999999999906</v>
      </c>
      <c r="AD594" s="376">
        <f t="shared" ca="1" si="287"/>
        <v>626.03424419877661</v>
      </c>
      <c r="AE594" s="377">
        <f t="shared" ca="1" si="266"/>
        <v>2128.6445160161015</v>
      </c>
      <c r="AF594" s="344"/>
      <c r="AG594" s="359">
        <f t="shared" ca="1" si="288"/>
        <v>-10.957403881190132</v>
      </c>
      <c r="AH594" s="357">
        <f t="shared" ca="1" si="289"/>
        <v>-2.1082095458905883</v>
      </c>
    </row>
    <row r="595" spans="1:34" x14ac:dyDescent="0.25">
      <c r="A595" s="402">
        <f t="shared" ca="1" si="267"/>
        <v>0.1</v>
      </c>
      <c r="B595" s="357">
        <f t="shared" ca="1" si="268"/>
        <v>14.099999999999905</v>
      </c>
      <c r="C595" s="342"/>
      <c r="D595" s="359">
        <f t="shared" ca="1" si="269"/>
        <v>-0.89721370801728484</v>
      </c>
      <c r="E595" s="360">
        <f t="shared" ca="1" si="270"/>
        <v>-11.664627811394551</v>
      </c>
      <c r="F595" s="357">
        <f t="shared" ca="1" si="271"/>
        <v>11.699082631395223</v>
      </c>
      <c r="G595" s="359">
        <f t="shared" ca="1" si="272"/>
        <v>42.804254609019644</v>
      </c>
      <c r="H595" s="360">
        <f t="shared" ca="1" si="273"/>
        <v>87.499548541030308</v>
      </c>
      <c r="I595" s="357">
        <f t="shared" ca="1" si="274"/>
        <v>97.408291266800788</v>
      </c>
      <c r="J595" s="359">
        <f t="shared" ca="1" si="275"/>
        <v>630.31915572821867</v>
      </c>
      <c r="K595" s="360">
        <f t="shared" ca="1" si="276"/>
        <v>2137.4527940092617</v>
      </c>
      <c r="L595" s="357">
        <f t="shared" ca="1" si="261"/>
        <v>2228.4538776236614</v>
      </c>
      <c r="M595" s="359">
        <f t="shared" ca="1" si="277"/>
        <v>1.1158308238921233</v>
      </c>
      <c r="N595" s="357">
        <f t="shared" ca="1" si="278"/>
        <v>63.932396859624085</v>
      </c>
      <c r="O595" s="343"/>
      <c r="P595" s="363">
        <f t="shared" ca="1" si="279"/>
        <v>23</v>
      </c>
      <c r="Q595" s="357">
        <f t="shared" ca="1" si="280"/>
        <v>0</v>
      </c>
      <c r="R595" s="359">
        <f t="shared" ca="1" si="281"/>
        <v>0</v>
      </c>
      <c r="S595" s="360">
        <f t="shared" ca="1" si="282"/>
        <v>10.637999999999975</v>
      </c>
      <c r="T595" s="357">
        <f t="shared" ca="1" si="262"/>
        <v>104.35877999999975</v>
      </c>
      <c r="U595" s="364">
        <f t="shared" ca="1" si="263"/>
        <v>0</v>
      </c>
      <c r="V595" s="359">
        <f t="shared" ca="1" si="264"/>
        <v>0.98844345512326326</v>
      </c>
      <c r="W595" s="357">
        <f t="shared" ca="1" si="265"/>
        <v>21.416269477708855</v>
      </c>
      <c r="X595" s="343"/>
      <c r="Y595" s="367" t="str">
        <f t="shared" ca="1" si="283"/>
        <v/>
      </c>
      <c r="Z595" s="368" t="str">
        <f t="shared" ca="1" si="284"/>
        <v/>
      </c>
      <c r="AA595" s="369" t="str">
        <f t="shared" ca="1" si="285"/>
        <v/>
      </c>
      <c r="AB595" s="344"/>
      <c r="AC595" s="363" t="e">
        <f t="shared" ca="1" si="286"/>
        <v>#N/A</v>
      </c>
      <c r="AD595" s="376" t="e">
        <f t="shared" ca="1" si="287"/>
        <v>#N/A</v>
      </c>
      <c r="AE595" s="377">
        <f t="shared" ca="1" si="266"/>
        <v>2137.4527940092617</v>
      </c>
      <c r="AF595" s="344"/>
      <c r="AG595" s="359">
        <f t="shared" ca="1" si="288"/>
        <v>-10.891162670883979</v>
      </c>
      <c r="AH595" s="357">
        <f t="shared" ca="1" si="289"/>
        <v>-2.0602516245964386</v>
      </c>
    </row>
    <row r="596" spans="1:34" x14ac:dyDescent="0.25">
      <c r="A596" s="402">
        <f t="shared" ca="1" si="267"/>
        <v>0.1</v>
      </c>
      <c r="B596" s="357">
        <f t="shared" ca="1" si="268"/>
        <v>14.199999999999905</v>
      </c>
      <c r="C596" s="342"/>
      <c r="D596" s="359">
        <f t="shared" ca="1" si="269"/>
        <v>-0.88465686197566296</v>
      </c>
      <c r="E596" s="360">
        <f t="shared" ca="1" si="270"/>
        <v>-11.618396776059827</v>
      </c>
      <c r="F596" s="357">
        <f t="shared" ca="1" si="271"/>
        <v>11.65202821011853</v>
      </c>
      <c r="G596" s="359">
        <f t="shared" ca="1" si="272"/>
        <v>42.715788922822078</v>
      </c>
      <c r="H596" s="360">
        <f t="shared" ca="1" si="273"/>
        <v>86.337708863424325</v>
      </c>
      <c r="I596" s="357">
        <f t="shared" ca="1" si="274"/>
        <v>96.326728352438664</v>
      </c>
      <c r="J596" s="359">
        <f t="shared" ca="1" si="275"/>
        <v>634.59515790481078</v>
      </c>
      <c r="K596" s="360">
        <f t="shared" ca="1" si="276"/>
        <v>2146.1446568794845</v>
      </c>
      <c r="L596" s="357">
        <f t="shared" ca="1" si="261"/>
        <v>2238.0008719141715</v>
      </c>
      <c r="M596" s="359">
        <f t="shared" ca="1" si="277"/>
        <v>1.111355601103486</v>
      </c>
      <c r="N596" s="357">
        <f t="shared" ca="1" si="278"/>
        <v>63.675985481454404</v>
      </c>
      <c r="O596" s="343"/>
      <c r="P596" s="363">
        <f t="shared" ca="1" si="279"/>
        <v>23</v>
      </c>
      <c r="Q596" s="357">
        <f t="shared" ca="1" si="280"/>
        <v>0</v>
      </c>
      <c r="R596" s="359">
        <f t="shared" ca="1" si="281"/>
        <v>0</v>
      </c>
      <c r="S596" s="360">
        <f t="shared" ca="1" si="282"/>
        <v>10.637999999999975</v>
      </c>
      <c r="T596" s="357">
        <f t="shared" ca="1" si="262"/>
        <v>104.35877999999975</v>
      </c>
      <c r="U596" s="364">
        <f t="shared" ca="1" si="263"/>
        <v>0</v>
      </c>
      <c r="V596" s="359">
        <f t="shared" ca="1" si="264"/>
        <v>0.98757472843150718</v>
      </c>
      <c r="W596" s="357">
        <f t="shared" ca="1" si="265"/>
        <v>20.924916371284567</v>
      </c>
      <c r="X596" s="343"/>
      <c r="Y596" s="367" t="str">
        <f t="shared" ca="1" si="283"/>
        <v/>
      </c>
      <c r="Z596" s="368" t="str">
        <f t="shared" ca="1" si="284"/>
        <v/>
      </c>
      <c r="AA596" s="369" t="str">
        <f t="shared" ca="1" si="285"/>
        <v/>
      </c>
      <c r="AB596" s="344"/>
      <c r="AC596" s="363" t="e">
        <f t="shared" ca="1" si="286"/>
        <v>#N/A</v>
      </c>
      <c r="AD596" s="376" t="e">
        <f t="shared" ca="1" si="287"/>
        <v>#N/A</v>
      </c>
      <c r="AE596" s="377">
        <f t="shared" ca="1" si="266"/>
        <v>2146.1446568794845</v>
      </c>
      <c r="AF596" s="344"/>
      <c r="AG596" s="359">
        <f t="shared" ca="1" si="288"/>
        <v>-10.825275102601147</v>
      </c>
      <c r="AH596" s="357">
        <f t="shared" ca="1" si="289"/>
        <v>-2.0131857001042399</v>
      </c>
    </row>
    <row r="597" spans="1:34" x14ac:dyDescent="0.25">
      <c r="A597" s="402">
        <f t="shared" ca="1" si="267"/>
        <v>0.1</v>
      </c>
      <c r="B597" s="357">
        <f t="shared" ca="1" si="268"/>
        <v>14.299999999999905</v>
      </c>
      <c r="C597" s="342"/>
      <c r="D597" s="359">
        <f t="shared" ca="1" si="269"/>
        <v>-0.87225881411367578</v>
      </c>
      <c r="E597" s="360">
        <f t="shared" ca="1" si="270"/>
        <v>-11.5730208746131</v>
      </c>
      <c r="F597" s="357">
        <f t="shared" ca="1" si="271"/>
        <v>11.605845406648736</v>
      </c>
      <c r="G597" s="359">
        <f t="shared" ca="1" si="272"/>
        <v>42.628563041410708</v>
      </c>
      <c r="H597" s="360">
        <f t="shared" ca="1" si="273"/>
        <v>85.180406775963021</v>
      </c>
      <c r="I597" s="357">
        <f t="shared" ca="1" si="274"/>
        <v>95.251751088859535</v>
      </c>
      <c r="J597" s="359">
        <f t="shared" ca="1" si="275"/>
        <v>638.86237550302246</v>
      </c>
      <c r="K597" s="360">
        <f t="shared" ca="1" si="276"/>
        <v>2154.7205626614541</v>
      </c>
      <c r="L597" s="357">
        <f t="shared" ca="1" si="261"/>
        <v>2247.4353912825745</v>
      </c>
      <c r="M597" s="359">
        <f t="shared" ca="1" si="277"/>
        <v>1.1067885153052741</v>
      </c>
      <c r="N597" s="357">
        <f t="shared" ca="1" si="278"/>
        <v>63.414310740542724</v>
      </c>
      <c r="O597" s="343"/>
      <c r="P597" s="363">
        <f t="shared" ca="1" si="279"/>
        <v>23</v>
      </c>
      <c r="Q597" s="357">
        <f t="shared" ca="1" si="280"/>
        <v>0</v>
      </c>
      <c r="R597" s="359">
        <f t="shared" ca="1" si="281"/>
        <v>0</v>
      </c>
      <c r="S597" s="360">
        <f t="shared" ca="1" si="282"/>
        <v>10.637999999999975</v>
      </c>
      <c r="T597" s="357">
        <f t="shared" ca="1" si="262"/>
        <v>104.35877999999975</v>
      </c>
      <c r="U597" s="364">
        <f t="shared" ca="1" si="263"/>
        <v>0</v>
      </c>
      <c r="V597" s="359">
        <f t="shared" ca="1" si="264"/>
        <v>0.98671825938451907</v>
      </c>
      <c r="W597" s="357">
        <f t="shared" ca="1" si="265"/>
        <v>20.442746559215752</v>
      </c>
      <c r="X597" s="343"/>
      <c r="Y597" s="367" t="str">
        <f t="shared" ca="1" si="283"/>
        <v/>
      </c>
      <c r="Z597" s="368" t="str">
        <f t="shared" ca="1" si="284"/>
        <v/>
      </c>
      <c r="AA597" s="369" t="str">
        <f t="shared" ca="1" si="285"/>
        <v/>
      </c>
      <c r="AB597" s="344"/>
      <c r="AC597" s="363" t="e">
        <f t="shared" ca="1" si="286"/>
        <v>#N/A</v>
      </c>
      <c r="AD597" s="376" t="e">
        <f t="shared" ca="1" si="287"/>
        <v>#N/A</v>
      </c>
      <c r="AE597" s="377">
        <f t="shared" ca="1" si="266"/>
        <v>2154.7205626614541</v>
      </c>
      <c r="AF597" s="344"/>
      <c r="AG597" s="359">
        <f t="shared" ca="1" si="288"/>
        <v>-10.759706553515368</v>
      </c>
      <c r="AH597" s="357">
        <f t="shared" ca="1" si="289"/>
        <v>-1.966997214822769</v>
      </c>
    </row>
    <row r="598" spans="1:34" x14ac:dyDescent="0.25">
      <c r="A598" s="402">
        <f t="shared" ca="1" si="267"/>
        <v>0.1</v>
      </c>
      <c r="B598" s="357">
        <f t="shared" ca="1" si="268"/>
        <v>14.399999999999904</v>
      </c>
      <c r="C598" s="342"/>
      <c r="D598" s="359">
        <f t="shared" ca="1" si="269"/>
        <v>-0.86001689577427232</v>
      </c>
      <c r="E598" s="360">
        <f t="shared" ca="1" si="270"/>
        <v>-11.528486005383053</v>
      </c>
      <c r="F598" s="357">
        <f t="shared" ca="1" si="271"/>
        <v>11.560519825567107</v>
      </c>
      <c r="G598" s="359">
        <f t="shared" ca="1" si="272"/>
        <v>42.542561351833278</v>
      </c>
      <c r="H598" s="360">
        <f t="shared" ca="1" si="273"/>
        <v>84.027558175424716</v>
      </c>
      <c r="I598" s="357">
        <f t="shared" ca="1" si="274"/>
        <v>94.183332173473687</v>
      </c>
      <c r="J598" s="359">
        <f t="shared" ca="1" si="275"/>
        <v>643.12093172268465</v>
      </c>
      <c r="K598" s="360">
        <f t="shared" ca="1" si="276"/>
        <v>2163.1809609090233</v>
      </c>
      <c r="L598" s="357">
        <f t="shared" ca="1" si="261"/>
        <v>2256.7579405995539</v>
      </c>
      <c r="M598" s="359">
        <f t="shared" ca="1" si="277"/>
        <v>1.1021270307075655</v>
      </c>
      <c r="N598" s="357">
        <f t="shared" ca="1" si="278"/>
        <v>63.147227346828778</v>
      </c>
      <c r="O598" s="343"/>
      <c r="P598" s="363">
        <f t="shared" ca="1" si="279"/>
        <v>23</v>
      </c>
      <c r="Q598" s="357">
        <f t="shared" ca="1" si="280"/>
        <v>0</v>
      </c>
      <c r="R598" s="359">
        <f t="shared" ca="1" si="281"/>
        <v>0</v>
      </c>
      <c r="S598" s="360">
        <f t="shared" ca="1" si="282"/>
        <v>10.637999999999975</v>
      </c>
      <c r="T598" s="357">
        <f t="shared" ca="1" si="262"/>
        <v>104.35877999999975</v>
      </c>
      <c r="U598" s="364">
        <f t="shared" ca="1" si="263"/>
        <v>0</v>
      </c>
      <c r="V598" s="359">
        <f t="shared" ca="1" si="264"/>
        <v>0.98587397546521971</v>
      </c>
      <c r="W598" s="357">
        <f t="shared" ca="1" si="265"/>
        <v>19.969612989275078</v>
      </c>
      <c r="X598" s="343"/>
      <c r="Y598" s="367" t="str">
        <f t="shared" ca="1" si="283"/>
        <v/>
      </c>
      <c r="Z598" s="368" t="str">
        <f t="shared" ca="1" si="284"/>
        <v/>
      </c>
      <c r="AA598" s="369" t="str">
        <f t="shared" ca="1" si="285"/>
        <v/>
      </c>
      <c r="AB598" s="344"/>
      <c r="AC598" s="363" t="e">
        <f t="shared" ca="1" si="286"/>
        <v>#N/A</v>
      </c>
      <c r="AD598" s="376" t="e">
        <f t="shared" ca="1" si="287"/>
        <v>#N/A</v>
      </c>
      <c r="AE598" s="377">
        <f t="shared" ca="1" si="266"/>
        <v>2163.1809609090233</v>
      </c>
      <c r="AF598" s="344"/>
      <c r="AG598" s="359">
        <f t="shared" ca="1" si="288"/>
        <v>-10.694421890022957</v>
      </c>
      <c r="AH598" s="357">
        <f t="shared" ca="1" si="289"/>
        <v>-1.9216719833818199</v>
      </c>
    </row>
    <row r="599" spans="1:34" x14ac:dyDescent="0.25">
      <c r="A599" s="402">
        <f t="shared" ca="1" si="267"/>
        <v>0.1</v>
      </c>
      <c r="B599" s="357">
        <f t="shared" ca="1" si="268"/>
        <v>14.499999999999904</v>
      </c>
      <c r="C599" s="342"/>
      <c r="D599" s="359">
        <f t="shared" ca="1" si="269"/>
        <v>-0.84792852323063728</v>
      </c>
      <c r="E599" s="360">
        <f t="shared" ca="1" si="270"/>
        <v>-11.484778411321349</v>
      </c>
      <c r="F599" s="357">
        <f t="shared" ca="1" si="271"/>
        <v>11.516037423422217</v>
      </c>
      <c r="G599" s="359">
        <f t="shared" ca="1" si="272"/>
        <v>42.457768499510216</v>
      </c>
      <c r="H599" s="360">
        <f t="shared" ca="1" si="273"/>
        <v>82.879080334292581</v>
      </c>
      <c r="I599" s="357">
        <f t="shared" ca="1" si="274"/>
        <v>93.121447921604641</v>
      </c>
      <c r="J599" s="359">
        <f t="shared" ca="1" si="275"/>
        <v>647.37094821525181</v>
      </c>
      <c r="K599" s="360">
        <f t="shared" ca="1" si="276"/>
        <v>2171.5262928345091</v>
      </c>
      <c r="L599" s="357">
        <f t="shared" ca="1" si="261"/>
        <v>2265.9690167927497</v>
      </c>
      <c r="M599" s="359">
        <f t="shared" ca="1" si="277"/>
        <v>1.0973685259424772</v>
      </c>
      <c r="N599" s="357">
        <f t="shared" ca="1" si="278"/>
        <v>62.874585106996335</v>
      </c>
      <c r="O599" s="343"/>
      <c r="P599" s="363">
        <f t="shared" ca="1" si="279"/>
        <v>23</v>
      </c>
      <c r="Q599" s="357">
        <f t="shared" ca="1" si="280"/>
        <v>0</v>
      </c>
      <c r="R599" s="359">
        <f t="shared" ca="1" si="281"/>
        <v>0</v>
      </c>
      <c r="S599" s="360">
        <f t="shared" ca="1" si="282"/>
        <v>10.637999999999975</v>
      </c>
      <c r="T599" s="357">
        <f t="shared" ca="1" si="262"/>
        <v>104.35877999999975</v>
      </c>
      <c r="U599" s="364">
        <f t="shared" ca="1" si="263"/>
        <v>0</v>
      </c>
      <c r="V599" s="359">
        <f t="shared" ca="1" si="264"/>
        <v>0.98504180554931087</v>
      </c>
      <c r="W599" s="357">
        <f t="shared" ca="1" si="265"/>
        <v>19.505372356669429</v>
      </c>
      <c r="X599" s="343"/>
      <c r="Y599" s="367" t="str">
        <f t="shared" ca="1" si="283"/>
        <v/>
      </c>
      <c r="Z599" s="368" t="str">
        <f t="shared" ca="1" si="284"/>
        <v/>
      </c>
      <c r="AA599" s="369" t="str">
        <f t="shared" ca="1" si="285"/>
        <v/>
      </c>
      <c r="AB599" s="344"/>
      <c r="AC599" s="363" t="e">
        <f t="shared" ca="1" si="286"/>
        <v>#N/A</v>
      </c>
      <c r="AD599" s="376" t="e">
        <f t="shared" ca="1" si="287"/>
        <v>#N/A</v>
      </c>
      <c r="AE599" s="377">
        <f t="shared" ca="1" si="266"/>
        <v>2171.5262928345091</v>
      </c>
      <c r="AF599" s="344"/>
      <c r="AG599" s="359">
        <f t="shared" ca="1" si="288"/>
        <v>-10.62938541467992</v>
      </c>
      <c r="AH599" s="357">
        <f t="shared" ca="1" si="289"/>
        <v>-1.8771961824849712</v>
      </c>
    </row>
    <row r="600" spans="1:34" x14ac:dyDescent="0.25">
      <c r="A600" s="402">
        <f t="shared" ca="1" si="267"/>
        <v>0.1</v>
      </c>
      <c r="B600" s="357">
        <f t="shared" ca="1" si="268"/>
        <v>14.599999999999904</v>
      </c>
      <c r="C600" s="342"/>
      <c r="D600" s="359">
        <f t="shared" ca="1" si="269"/>
        <v>-0.83599119643157727</v>
      </c>
      <c r="E600" s="360">
        <f t="shared" ca="1" si="270"/>
        <v>-11.441884669789307</v>
      </c>
      <c r="F600" s="357">
        <f t="shared" ca="1" si="271"/>
        <v>11.472384498319025</v>
      </c>
      <c r="G600" s="359">
        <f t="shared" ca="1" si="272"/>
        <v>42.374169379867055</v>
      </c>
      <c r="H600" s="360">
        <f t="shared" ca="1" si="273"/>
        <v>81.73489186731365</v>
      </c>
      <c r="I600" s="357">
        <f t="shared" ca="1" si="274"/>
        <v>92.066078330702879</v>
      </c>
      <c r="J600" s="359">
        <f t="shared" ca="1" si="275"/>
        <v>651.61254510922072</v>
      </c>
      <c r="K600" s="360">
        <f t="shared" ca="1" si="276"/>
        <v>2179.7569914445894</v>
      </c>
      <c r="L600" s="357">
        <f t="shared" ca="1" si="261"/>
        <v>2275.0691089932379</v>
      </c>
      <c r="M600" s="359">
        <f t="shared" ca="1" si="277"/>
        <v>1.0925102909676927</v>
      </c>
      <c r="N600" s="357">
        <f t="shared" ca="1" si="278"/>
        <v>62.596228747058333</v>
      </c>
      <c r="O600" s="343"/>
      <c r="P600" s="363">
        <f t="shared" ca="1" si="279"/>
        <v>23</v>
      </c>
      <c r="Q600" s="357">
        <f t="shared" ca="1" si="280"/>
        <v>0</v>
      </c>
      <c r="R600" s="359">
        <f t="shared" ca="1" si="281"/>
        <v>0</v>
      </c>
      <c r="S600" s="360">
        <f t="shared" ca="1" si="282"/>
        <v>10.637999999999975</v>
      </c>
      <c r="T600" s="357">
        <f t="shared" ca="1" si="262"/>
        <v>104.35877999999975</v>
      </c>
      <c r="U600" s="364">
        <f t="shared" ca="1" si="263"/>
        <v>0</v>
      </c>
      <c r="V600" s="359">
        <f t="shared" ca="1" si="264"/>
        <v>0.98422167988138032</v>
      </c>
      <c r="W600" s="357">
        <f t="shared" ca="1" si="265"/>
        <v>19.049885003235389</v>
      </c>
      <c r="X600" s="343"/>
      <c r="Y600" s="367" t="str">
        <f t="shared" ca="1" si="283"/>
        <v/>
      </c>
      <c r="Z600" s="368" t="str">
        <f t="shared" ca="1" si="284"/>
        <v/>
      </c>
      <c r="AA600" s="369" t="str">
        <f t="shared" ca="1" si="285"/>
        <v/>
      </c>
      <c r="AB600" s="344"/>
      <c r="AC600" s="363" t="e">
        <f t="shared" ca="1" si="286"/>
        <v>#N/A</v>
      </c>
      <c r="AD600" s="376" t="e">
        <f t="shared" ca="1" si="287"/>
        <v>#N/A</v>
      </c>
      <c r="AE600" s="377">
        <f t="shared" ca="1" si="266"/>
        <v>2179.7569914445894</v>
      </c>
      <c r="AF600" s="344"/>
      <c r="AG600" s="359">
        <f t="shared" ca="1" si="288"/>
        <v>-10.564560811351553</v>
      </c>
      <c r="AH600" s="357">
        <f t="shared" ca="1" si="289"/>
        <v>-1.8335563411044815</v>
      </c>
    </row>
    <row r="601" spans="1:34" x14ac:dyDescent="0.25">
      <c r="A601" s="402">
        <f t="shared" ca="1" si="267"/>
        <v>0.1</v>
      </c>
      <c r="B601" s="357">
        <f t="shared" ca="1" si="268"/>
        <v>14.699999999999903</v>
      </c>
      <c r="C601" s="342"/>
      <c r="D601" s="359">
        <f t="shared" ca="1" si="269"/>
        <v>-0.82420249784775723</v>
      </c>
      <c r="E601" s="360">
        <f t="shared" ca="1" si="270"/>
        <v>-11.399791682627376</v>
      </c>
      <c r="F601" s="357">
        <f t="shared" ca="1" si="271"/>
        <v>11.429547679797253</v>
      </c>
      <c r="G601" s="359">
        <f t="shared" ca="1" si="272"/>
        <v>42.29174913008228</v>
      </c>
      <c r="H601" s="360">
        <f t="shared" ca="1" si="273"/>
        <v>80.594912699050909</v>
      </c>
      <c r="I601" s="357">
        <f t="shared" ca="1" si="274"/>
        <v>91.017207150348511</v>
      </c>
      <c r="J601" s="359">
        <f t="shared" ca="1" si="275"/>
        <v>655.84584103471821</v>
      </c>
      <c r="K601" s="360">
        <f t="shared" ca="1" si="276"/>
        <v>2187.8734816729075</v>
      </c>
      <c r="L601" s="357">
        <f t="shared" ca="1" si="261"/>
        <v>2284.0586986787503</v>
      </c>
      <c r="M601" s="359">
        <f t="shared" ca="1" si="277"/>
        <v>1.087549523873877</v>
      </c>
      <c r="N601" s="357">
        <f t="shared" ca="1" si="278"/>
        <v>62.311997729435319</v>
      </c>
      <c r="O601" s="343"/>
      <c r="P601" s="363">
        <f t="shared" ca="1" si="279"/>
        <v>23</v>
      </c>
      <c r="Q601" s="357">
        <f t="shared" ca="1" si="280"/>
        <v>0</v>
      </c>
      <c r="R601" s="359">
        <f t="shared" ca="1" si="281"/>
        <v>0</v>
      </c>
      <c r="S601" s="360">
        <f t="shared" ca="1" si="282"/>
        <v>10.637999999999975</v>
      </c>
      <c r="T601" s="357">
        <f t="shared" ca="1" si="262"/>
        <v>104.35877999999975</v>
      </c>
      <c r="U601" s="364">
        <f t="shared" ca="1" si="263"/>
        <v>0</v>
      </c>
      <c r="V601" s="359">
        <f t="shared" ca="1" si="264"/>
        <v>0.98341353005162024</v>
      </c>
      <c r="W601" s="357">
        <f t="shared" ca="1" si="265"/>
        <v>18.603014820005132</v>
      </c>
      <c r="X601" s="343"/>
      <c r="Y601" s="367" t="str">
        <f t="shared" ca="1" si="283"/>
        <v/>
      </c>
      <c r="Z601" s="368" t="str">
        <f t="shared" ca="1" si="284"/>
        <v/>
      </c>
      <c r="AA601" s="369" t="str">
        <f t="shared" ca="1" si="285"/>
        <v/>
      </c>
      <c r="AB601" s="344"/>
      <c r="AC601" s="363" t="e">
        <f t="shared" ca="1" si="286"/>
        <v>#N/A</v>
      </c>
      <c r="AD601" s="376" t="e">
        <f t="shared" ca="1" si="287"/>
        <v>#N/A</v>
      </c>
      <c r="AE601" s="377">
        <f t="shared" ca="1" si="266"/>
        <v>2187.8734816729075</v>
      </c>
      <c r="AF601" s="344"/>
      <c r="AG601" s="359">
        <f t="shared" ca="1" si="288"/>
        <v>-10.499911088470714</v>
      </c>
      <c r="AH601" s="357">
        <f t="shared" ca="1" si="289"/>
        <v>-1.7907393310053989</v>
      </c>
    </row>
    <row r="602" spans="1:34" x14ac:dyDescent="0.25">
      <c r="A602" s="402">
        <f t="shared" ca="1" si="267"/>
        <v>0.1</v>
      </c>
      <c r="B602" s="357">
        <f t="shared" ca="1" si="268"/>
        <v>14.799999999999903</v>
      </c>
      <c r="C602" s="342"/>
      <c r="D602" s="359">
        <f t="shared" ca="1" si="269"/>
        <v>-0.81256009141808039</v>
      </c>
      <c r="E602" s="360">
        <f t="shared" ca="1" si="270"/>
        <v>-11.358486666492379</v>
      </c>
      <c r="F602" s="357">
        <f t="shared" ca="1" si="271"/>
        <v>11.387513918983831</v>
      </c>
      <c r="G602" s="359">
        <f t="shared" ca="1" si="272"/>
        <v>42.21049312094047</v>
      </c>
      <c r="H602" s="360">
        <f t="shared" ca="1" si="273"/>
        <v>79.45906403240167</v>
      </c>
      <c r="I602" s="357">
        <f t="shared" ca="1" si="274"/>
        <v>89.974821958247148</v>
      </c>
      <c r="J602" s="359">
        <f t="shared" ca="1" si="275"/>
        <v>660.07095314726939</v>
      </c>
      <c r="K602" s="360">
        <f t="shared" ca="1" si="276"/>
        <v>2195.87618050948</v>
      </c>
      <c r="L602" s="357">
        <f t="shared" ca="1" si="261"/>
        <v>2292.9382598137367</v>
      </c>
      <c r="M602" s="359">
        <f t="shared" ca="1" si="277"/>
        <v>1.0824833275963355</v>
      </c>
      <c r="N602" s="357">
        <f t="shared" ca="1" si="278"/>
        <v>62.021726064547302</v>
      </c>
      <c r="O602" s="343"/>
      <c r="P602" s="363">
        <f t="shared" ca="1" si="279"/>
        <v>23</v>
      </c>
      <c r="Q602" s="357">
        <f t="shared" ca="1" si="280"/>
        <v>0</v>
      </c>
      <c r="R602" s="359">
        <f t="shared" ca="1" si="281"/>
        <v>0</v>
      </c>
      <c r="S602" s="360">
        <f t="shared" ca="1" si="282"/>
        <v>10.637999999999975</v>
      </c>
      <c r="T602" s="357">
        <f t="shared" ca="1" si="262"/>
        <v>104.35877999999975</v>
      </c>
      <c r="U602" s="364">
        <f t="shared" ca="1" si="263"/>
        <v>0</v>
      </c>
      <c r="V602" s="359">
        <f t="shared" ca="1" si="264"/>
        <v>0.9826172889731476</v>
      </c>
      <c r="W602" s="357">
        <f t="shared" ca="1" si="265"/>
        <v>18.164629153016541</v>
      </c>
      <c r="X602" s="343"/>
      <c r="Y602" s="367" t="str">
        <f t="shared" ca="1" si="283"/>
        <v/>
      </c>
      <c r="Z602" s="368" t="str">
        <f t="shared" ca="1" si="284"/>
        <v/>
      </c>
      <c r="AA602" s="369" t="str">
        <f t="shared" ca="1" si="285"/>
        <v/>
      </c>
      <c r="AB602" s="344"/>
      <c r="AC602" s="363" t="e">
        <f t="shared" ca="1" si="286"/>
        <v>#N/A</v>
      </c>
      <c r="AD602" s="376" t="e">
        <f t="shared" ca="1" si="287"/>
        <v>#N/A</v>
      </c>
      <c r="AE602" s="377">
        <f t="shared" ca="1" si="266"/>
        <v>2195.87618050948</v>
      </c>
      <c r="AF602" s="344"/>
      <c r="AG602" s="359">
        <f t="shared" ca="1" si="288"/>
        <v>-10.435398520300788</v>
      </c>
      <c r="AH602" s="357">
        <f t="shared" ca="1" si="289"/>
        <v>-1.748732357586499</v>
      </c>
    </row>
    <row r="603" spans="1:34" x14ac:dyDescent="0.25">
      <c r="A603" s="402">
        <f t="shared" ca="1" si="267"/>
        <v>0.1</v>
      </c>
      <c r="B603" s="357">
        <f t="shared" ca="1" si="268"/>
        <v>14.899999999999903</v>
      </c>
      <c r="C603" s="342"/>
      <c r="D603" s="359">
        <f t="shared" ca="1" si="269"/>
        <v>-0.80106172159568667</v>
      </c>
      <c r="E603" s="360">
        <f t="shared" ca="1" si="270"/>
        <v>-11.317957143447829</v>
      </c>
      <c r="F603" s="357">
        <f t="shared" ca="1" si="271"/>
        <v>11.346270479004438</v>
      </c>
      <c r="G603" s="359">
        <f t="shared" ca="1" si="272"/>
        <v>42.130386948780902</v>
      </c>
      <c r="H603" s="360">
        <f t="shared" ca="1" si="273"/>
        <v>78.327268318056881</v>
      </c>
      <c r="I603" s="357">
        <f t="shared" ca="1" si="274"/>
        <v>88.938914242433185</v>
      </c>
      <c r="J603" s="359">
        <f t="shared" ca="1" si="275"/>
        <v>664.28799715075547</v>
      </c>
      <c r="K603" s="360">
        <f t="shared" ca="1" si="276"/>
        <v>2203.7654971270031</v>
      </c>
      <c r="L603" s="357">
        <f t="shared" ca="1" si="261"/>
        <v>2301.708258986353</v>
      </c>
      <c r="M603" s="359">
        <f t="shared" ca="1" si="277"/>
        <v>1.0773087065318585</v>
      </c>
      <c r="N603" s="357">
        <f t="shared" ca="1" si="278"/>
        <v>61.725242116973277</v>
      </c>
      <c r="O603" s="343"/>
      <c r="P603" s="363">
        <f t="shared" ca="1" si="279"/>
        <v>23</v>
      </c>
      <c r="Q603" s="357">
        <f t="shared" ca="1" si="280"/>
        <v>0</v>
      </c>
      <c r="R603" s="359">
        <f t="shared" ca="1" si="281"/>
        <v>0</v>
      </c>
      <c r="S603" s="360">
        <f t="shared" ca="1" si="282"/>
        <v>10.637999999999975</v>
      </c>
      <c r="T603" s="357">
        <f t="shared" ca="1" si="262"/>
        <v>104.35877999999975</v>
      </c>
      <c r="U603" s="364">
        <f t="shared" ca="1" si="263"/>
        <v>0</v>
      </c>
      <c r="V603" s="359">
        <f t="shared" ca="1" si="264"/>
        <v>0.98183289085989622</v>
      </c>
      <c r="W603" s="357">
        <f t="shared" ca="1" si="265"/>
        <v>17.734598712246296</v>
      </c>
      <c r="X603" s="343"/>
      <c r="Y603" s="367" t="str">
        <f t="shared" ca="1" si="283"/>
        <v/>
      </c>
      <c r="Z603" s="368" t="str">
        <f t="shared" ca="1" si="284"/>
        <v/>
      </c>
      <c r="AA603" s="369" t="str">
        <f t="shared" ca="1" si="285"/>
        <v/>
      </c>
      <c r="AB603" s="344"/>
      <c r="AC603" s="363" t="e">
        <f t="shared" ca="1" si="286"/>
        <v>#N/A</v>
      </c>
      <c r="AD603" s="376" t="e">
        <f t="shared" ca="1" si="287"/>
        <v>#N/A</v>
      </c>
      <c r="AE603" s="377">
        <f t="shared" ca="1" si="266"/>
        <v>2203.7654971270031</v>
      </c>
      <c r="AF603" s="344"/>
      <c r="AG603" s="359">
        <f t="shared" ca="1" si="288"/>
        <v>-10.370984586099883</v>
      </c>
      <c r="AH603" s="357">
        <f t="shared" ca="1" si="289"/>
        <v>-1.7075229510261876</v>
      </c>
    </row>
    <row r="604" spans="1:34" x14ac:dyDescent="0.25">
      <c r="A604" s="402">
        <f t="shared" ca="1" si="267"/>
        <v>0.1</v>
      </c>
      <c r="B604" s="357">
        <f t="shared" ca="1" si="268"/>
        <v>14.999999999999902</v>
      </c>
      <c r="C604" s="342"/>
      <c r="D604" s="359">
        <f t="shared" ca="1" si="269"/>
        <v>-0.78970521249320935</v>
      </c>
      <c r="E604" s="360">
        <f t="shared" ca="1" si="270"/>
        <v>-11.278190931792844</v>
      </c>
      <c r="F604" s="357">
        <f t="shared" ca="1" si="271"/>
        <v>11.305804925639451</v>
      </c>
      <c r="G604" s="359">
        <f t="shared" ca="1" si="272"/>
        <v>42.051416427531585</v>
      </c>
      <c r="H604" s="360">
        <f t="shared" ca="1" si="273"/>
        <v>77.199449224877597</v>
      </c>
      <c r="I604" s="357">
        <f t="shared" ca="1" si="274"/>
        <v>87.909479489905564</v>
      </c>
      <c r="J604" s="359">
        <f t="shared" ca="1" si="275"/>
        <v>668.49708731957105</v>
      </c>
      <c r="K604" s="360">
        <f t="shared" ca="1" si="276"/>
        <v>2211.5418330041498</v>
      </c>
      <c r="L604" s="357">
        <f t="shared" ca="1" si="261"/>
        <v>2310.3691555424871</v>
      </c>
      <c r="M604" s="359">
        <f t="shared" ca="1" si="277"/>
        <v>1.0720225630623994</v>
      </c>
      <c r="N604" s="357">
        <f t="shared" ca="1" si="278"/>
        <v>61.422368406272625</v>
      </c>
      <c r="O604" s="343"/>
      <c r="P604" s="363">
        <f t="shared" ca="1" si="279"/>
        <v>23</v>
      </c>
      <c r="Q604" s="357">
        <f t="shared" ca="1" si="280"/>
        <v>0</v>
      </c>
      <c r="R604" s="359">
        <f t="shared" ca="1" si="281"/>
        <v>0</v>
      </c>
      <c r="S604" s="360">
        <f t="shared" ca="1" si="282"/>
        <v>10.637999999999975</v>
      </c>
      <c r="T604" s="357">
        <f t="shared" ca="1" si="262"/>
        <v>104.35877999999975</v>
      </c>
      <c r="U604" s="364">
        <f t="shared" ca="1" si="263"/>
        <v>0</v>
      </c>
      <c r="V604" s="359">
        <f t="shared" ca="1" si="264"/>
        <v>0.98106027120507489</v>
      </c>
      <c r="W604" s="357">
        <f t="shared" ca="1" si="265"/>
        <v>17.312797483550217</v>
      </c>
      <c r="X604" s="343"/>
      <c r="Y604" s="367" t="str">
        <f t="shared" ca="1" si="283"/>
        <v/>
      </c>
      <c r="Z604" s="368" t="str">
        <f t="shared" ca="1" si="284"/>
        <v/>
      </c>
      <c r="AA604" s="369" t="str">
        <f t="shared" ca="1" si="285"/>
        <v/>
      </c>
      <c r="AB604" s="344"/>
      <c r="AC604" s="363">
        <f t="shared" ca="1" si="286"/>
        <v>14.999999999999902</v>
      </c>
      <c r="AD604" s="376">
        <f t="shared" ca="1" si="287"/>
        <v>668.49708731957105</v>
      </c>
      <c r="AE604" s="377">
        <f t="shared" ca="1" si="266"/>
        <v>2211.5418330041498</v>
      </c>
      <c r="AF604" s="344"/>
      <c r="AG604" s="359">
        <f t="shared" ca="1" si="288"/>
        <v>-10.306629907083789</v>
      </c>
      <c r="AH604" s="357">
        <f t="shared" ca="1" si="289"/>
        <v>-1.6670989577219719</v>
      </c>
    </row>
    <row r="605" spans="1:34" x14ac:dyDescent="0.25">
      <c r="A605" s="402">
        <f t="shared" ca="1" si="267"/>
        <v>0.1</v>
      </c>
      <c r="B605" s="357">
        <f t="shared" ca="1" si="268"/>
        <v>15.099999999999902</v>
      </c>
      <c r="C605" s="342"/>
      <c r="D605" s="359">
        <f t="shared" ca="1" si="269"/>
        <v>-0.77848846712709829</v>
      </c>
      <c r="E605" s="360">
        <f t="shared" ca="1" si="270"/>
        <v>-11.239176137115415</v>
      </c>
      <c r="F605" s="357">
        <f t="shared" ca="1" si="271"/>
        <v>11.266105118209863</v>
      </c>
      <c r="G605" s="359">
        <f t="shared" ca="1" si="272"/>
        <v>41.973567580818873</v>
      </c>
      <c r="H605" s="360">
        <f t="shared" ca="1" si="273"/>
        <v>76.075531611166056</v>
      </c>
      <c r="I605" s="357">
        <f t="shared" ca="1" si="274"/>
        <v>86.886517281929855</v>
      </c>
      <c r="J605" s="359">
        <f t="shared" ca="1" si="275"/>
        <v>672.69833651998863</v>
      </c>
      <c r="K605" s="360">
        <f t="shared" ca="1" si="276"/>
        <v>2219.2055820459518</v>
      </c>
      <c r="L605" s="357">
        <f t="shared" ca="1" si="261"/>
        <v>2318.9214017168997</v>
      </c>
      <c r="M605" s="359">
        <f t="shared" ca="1" si="277"/>
        <v>1.0666216939880193</v>
      </c>
      <c r="N605" s="357">
        <f t="shared" ca="1" si="278"/>
        <v>61.112921402607917</v>
      </c>
      <c r="O605" s="343"/>
      <c r="P605" s="363">
        <f t="shared" ca="1" si="279"/>
        <v>23</v>
      </c>
      <c r="Q605" s="357">
        <f t="shared" ca="1" si="280"/>
        <v>0</v>
      </c>
      <c r="R605" s="359">
        <f t="shared" ca="1" si="281"/>
        <v>0</v>
      </c>
      <c r="S605" s="360">
        <f t="shared" ca="1" si="282"/>
        <v>10.637999999999975</v>
      </c>
      <c r="T605" s="357">
        <f t="shared" ca="1" si="262"/>
        <v>104.35877999999975</v>
      </c>
      <c r="U605" s="364">
        <f t="shared" ca="1" si="263"/>
        <v>0</v>
      </c>
      <c r="V605" s="359">
        <f t="shared" ca="1" si="264"/>
        <v>0.98029936676017149</v>
      </c>
      <c r="W605" s="357">
        <f t="shared" ca="1" si="265"/>
        <v>16.89910264349928</v>
      </c>
      <c r="X605" s="343"/>
      <c r="Y605" s="367" t="str">
        <f t="shared" ca="1" si="283"/>
        <v/>
      </c>
      <c r="Z605" s="368" t="str">
        <f t="shared" ca="1" si="284"/>
        <v/>
      </c>
      <c r="AA605" s="369" t="str">
        <f t="shared" ca="1" si="285"/>
        <v/>
      </c>
      <c r="AB605" s="344"/>
      <c r="AC605" s="363" t="e">
        <f t="shared" ca="1" si="286"/>
        <v>#N/A</v>
      </c>
      <c r="AD605" s="376" t="e">
        <f t="shared" ca="1" si="287"/>
        <v>#N/A</v>
      </c>
      <c r="AE605" s="377">
        <f t="shared" ca="1" si="266"/>
        <v>2219.2055820459518</v>
      </c>
      <c r="AF605" s="344"/>
      <c r="AG605" s="359">
        <f t="shared" ca="1" si="288"/>
        <v>-10.242294181087487</v>
      </c>
      <c r="AH605" s="357">
        <f t="shared" ca="1" si="289"/>
        <v>-1.6274485320126206</v>
      </c>
    </row>
    <row r="606" spans="1:34" x14ac:dyDescent="0.25">
      <c r="A606" s="402">
        <f t="shared" ca="1" si="267"/>
        <v>0.1</v>
      </c>
      <c r="B606" s="357">
        <f t="shared" ca="1" si="268"/>
        <v>15.199999999999902</v>
      </c>
      <c r="C606" s="342"/>
      <c r="D606" s="359">
        <f t="shared" ca="1" si="269"/>
        <v>-0.76740946676097177</v>
      </c>
      <c r="E606" s="360">
        <f t="shared" ca="1" si="270"/>
        <v>-11.200901143555914</v>
      </c>
      <c r="F606" s="357">
        <f t="shared" ca="1" si="271"/>
        <v>11.227159200678795</v>
      </c>
      <c r="G606" s="359">
        <f t="shared" ca="1" si="272"/>
        <v>41.896826634142776</v>
      </c>
      <c r="H606" s="360">
        <f t="shared" ca="1" si="273"/>
        <v>74.955441496810465</v>
      </c>
      <c r="I606" s="357">
        <f t="shared" ca="1" si="274"/>
        <v>85.870031396251349</v>
      </c>
      <c r="J606" s="359">
        <f t="shared" ca="1" si="275"/>
        <v>676.89185623073672</v>
      </c>
      <c r="K606" s="360">
        <f t="shared" ca="1" si="276"/>
        <v>2226.7571307013504</v>
      </c>
      <c r="L606" s="357">
        <f t="shared" ca="1" si="261"/>
        <v>2327.3654427615797</v>
      </c>
      <c r="M606" s="359">
        <f t="shared" ca="1" si="277"/>
        <v>1.0611027868724749</v>
      </c>
      <c r="N606" s="357">
        <f t="shared" ca="1" si="278"/>
        <v>60.796711317362508</v>
      </c>
      <c r="O606" s="343"/>
      <c r="P606" s="363">
        <f t="shared" ca="1" si="279"/>
        <v>23</v>
      </c>
      <c r="Q606" s="357">
        <f t="shared" ca="1" si="280"/>
        <v>0</v>
      </c>
      <c r="R606" s="359">
        <f t="shared" ca="1" si="281"/>
        <v>0</v>
      </c>
      <c r="S606" s="360">
        <f t="shared" ca="1" si="282"/>
        <v>10.637999999999975</v>
      </c>
      <c r="T606" s="357">
        <f t="shared" ca="1" si="262"/>
        <v>104.35877999999975</v>
      </c>
      <c r="U606" s="364">
        <f t="shared" ca="1" si="263"/>
        <v>0</v>
      </c>
      <c r="V606" s="359">
        <f t="shared" ca="1" si="264"/>
        <v>0.97955011551448212</v>
      </c>
      <c r="W606" s="357">
        <f t="shared" ca="1" si="265"/>
        <v>16.493394477004596</v>
      </c>
      <c r="X606" s="343"/>
      <c r="Y606" s="367" t="str">
        <f t="shared" ca="1" si="283"/>
        <v/>
      </c>
      <c r="Z606" s="368" t="str">
        <f t="shared" ca="1" si="284"/>
        <v/>
      </c>
      <c r="AA606" s="369" t="str">
        <f t="shared" ca="1" si="285"/>
        <v/>
      </c>
      <c r="AB606" s="344"/>
      <c r="AC606" s="363" t="e">
        <f t="shared" ca="1" si="286"/>
        <v>#N/A</v>
      </c>
      <c r="AD606" s="376" t="e">
        <f t="shared" ca="1" si="287"/>
        <v>#N/A</v>
      </c>
      <c r="AE606" s="377">
        <f t="shared" ca="1" si="266"/>
        <v>2226.7571307013504</v>
      </c>
      <c r="AF606" s="344"/>
      <c r="AG606" s="359">
        <f t="shared" ca="1" si="288"/>
        <v>-10.177936114828055</v>
      </c>
      <c r="AH606" s="357">
        <f t="shared" ca="1" si="289"/>
        <v>-1.5885601281725248</v>
      </c>
    </row>
    <row r="607" spans="1:34" x14ac:dyDescent="0.25">
      <c r="A607" s="402">
        <f t="shared" ca="1" si="267"/>
        <v>0.1</v>
      </c>
      <c r="B607" s="357">
        <f t="shared" ca="1" si="268"/>
        <v>15.299999999999901</v>
      </c>
      <c r="C607" s="342"/>
      <c r="D607" s="359">
        <f t="shared" ca="1" si="269"/>
        <v>-0.75646627034809832</v>
      </c>
      <c r="E607" s="360">
        <f t="shared" ca="1" si="270"/>
        <v>-11.16335460526693</v>
      </c>
      <c r="F607" s="357">
        <f t="shared" ca="1" si="271"/>
        <v>11.188955592954542</v>
      </c>
      <c r="G607" s="359">
        <f t="shared" ca="1" si="272"/>
        <v>41.821180007107969</v>
      </c>
      <c r="H607" s="360">
        <f t="shared" ca="1" si="273"/>
        <v>73.839106036283766</v>
      </c>
      <c r="I607" s="357">
        <f t="shared" ca="1" si="274"/>
        <v>84.860029916471774</v>
      </c>
      <c r="J607" s="359">
        <f t="shared" ca="1" si="275"/>
        <v>681.07775656279921</v>
      </c>
      <c r="K607" s="360">
        <f t="shared" ca="1" si="276"/>
        <v>2234.1968580780053</v>
      </c>
      <c r="L607" s="357">
        <f t="shared" ca="1" si="261"/>
        <v>2335.7017170713916</v>
      </c>
      <c r="M607" s="359">
        <f t="shared" ca="1" si="277"/>
        <v>1.0554624163058757</v>
      </c>
      <c r="N607" s="357">
        <f t="shared" ca="1" si="278"/>
        <v>60.473541889006555</v>
      </c>
      <c r="O607" s="343"/>
      <c r="P607" s="363">
        <f t="shared" ca="1" si="279"/>
        <v>23</v>
      </c>
      <c r="Q607" s="357">
        <f t="shared" ca="1" si="280"/>
        <v>0</v>
      </c>
      <c r="R607" s="359">
        <f t="shared" ca="1" si="281"/>
        <v>0</v>
      </c>
      <c r="S607" s="360">
        <f t="shared" ca="1" si="282"/>
        <v>10.637999999999975</v>
      </c>
      <c r="T607" s="357">
        <f t="shared" ca="1" si="262"/>
        <v>104.35877999999975</v>
      </c>
      <c r="U607" s="364">
        <f t="shared" ca="1" si="263"/>
        <v>0</v>
      </c>
      <c r="V607" s="359">
        <f t="shared" ca="1" si="264"/>
        <v>0.97881245667515948</v>
      </c>
      <c r="W607" s="357">
        <f t="shared" ca="1" si="265"/>
        <v>16.095556297628939</v>
      </c>
      <c r="X607" s="343"/>
      <c r="Y607" s="367" t="str">
        <f t="shared" ca="1" si="283"/>
        <v/>
      </c>
      <c r="Z607" s="368" t="str">
        <f t="shared" ca="1" si="284"/>
        <v/>
      </c>
      <c r="AA607" s="369" t="str">
        <f t="shared" ca="1" si="285"/>
        <v/>
      </c>
      <c r="AB607" s="344"/>
      <c r="AC607" s="363" t="e">
        <f t="shared" ca="1" si="286"/>
        <v>#N/A</v>
      </c>
      <c r="AD607" s="376" t="e">
        <f t="shared" ca="1" si="287"/>
        <v>#N/A</v>
      </c>
      <c r="AE607" s="377">
        <f t="shared" ca="1" si="266"/>
        <v>2234.1968580780053</v>
      </c>
      <c r="AF607" s="344"/>
      <c r="AG607" s="359">
        <f t="shared" ca="1" si="288"/>
        <v>-10.11351335367624</v>
      </c>
      <c r="AH607" s="357">
        <f t="shared" ca="1" si="289"/>
        <v>-1.5504224926682304</v>
      </c>
    </row>
    <row r="608" spans="1:34" x14ac:dyDescent="0.25">
      <c r="A608" s="402">
        <f t="shared" ca="1" si="267"/>
        <v>0.1</v>
      </c>
      <c r="B608" s="357">
        <f t="shared" ca="1" si="268"/>
        <v>15.399999999999901</v>
      </c>
      <c r="C608" s="342"/>
      <c r="D608" s="359">
        <f t="shared" ca="1" si="269"/>
        <v>-0.7456570140732699</v>
      </c>
      <c r="E608" s="360">
        <f t="shared" ca="1" si="270"/>
        <v>-11.126525438055481</v>
      </c>
      <c r="F608" s="357">
        <f t="shared" ca="1" si="271"/>
        <v>11.151482982380969</v>
      </c>
      <c r="G608" s="359">
        <f t="shared" ca="1" si="272"/>
        <v>41.746614305700639</v>
      </c>
      <c r="H608" s="360">
        <f t="shared" ca="1" si="273"/>
        <v>72.726453492478214</v>
      </c>
      <c r="I608" s="357">
        <f t="shared" ca="1" si="274"/>
        <v>83.856525348851207</v>
      </c>
      <c r="J608" s="359">
        <f t="shared" ca="1" si="275"/>
        <v>685.25614627843959</v>
      </c>
      <c r="K608" s="360">
        <f t="shared" ca="1" si="276"/>
        <v>2241.5251360544435</v>
      </c>
      <c r="L608" s="357">
        <f t="shared" ca="1" si="261"/>
        <v>2343.9306563071077</v>
      </c>
      <c r="M608" s="359">
        <f t="shared" ca="1" si="277"/>
        <v>1.0496970400900612</v>
      </c>
      <c r="N608" s="357">
        <f t="shared" ca="1" si="278"/>
        <v>60.143210164535276</v>
      </c>
      <c r="O608" s="343"/>
      <c r="P608" s="363">
        <f t="shared" ca="1" si="279"/>
        <v>23</v>
      </c>
      <c r="Q608" s="357">
        <f t="shared" ca="1" si="280"/>
        <v>0</v>
      </c>
      <c r="R608" s="359">
        <f t="shared" ca="1" si="281"/>
        <v>0</v>
      </c>
      <c r="S608" s="360">
        <f t="shared" ca="1" si="282"/>
        <v>10.637999999999975</v>
      </c>
      <c r="T608" s="357">
        <f t="shared" ca="1" si="262"/>
        <v>104.35877999999975</v>
      </c>
      <c r="U608" s="364">
        <f t="shared" ca="1" si="263"/>
        <v>0</v>
      </c>
      <c r="V608" s="359">
        <f t="shared" ca="1" si="264"/>
        <v>0.97808633064775541</v>
      </c>
      <c r="W608" s="357">
        <f t="shared" ca="1" si="265"/>
        <v>15.705474370486245</v>
      </c>
      <c r="X608" s="343"/>
      <c r="Y608" s="367" t="str">
        <f t="shared" ca="1" si="283"/>
        <v/>
      </c>
      <c r="Z608" s="368" t="str">
        <f t="shared" ca="1" si="284"/>
        <v/>
      </c>
      <c r="AA608" s="369" t="str">
        <f t="shared" ca="1" si="285"/>
        <v/>
      </c>
      <c r="AB608" s="344"/>
      <c r="AC608" s="363" t="e">
        <f t="shared" ca="1" si="286"/>
        <v>#N/A</v>
      </c>
      <c r="AD608" s="376" t="e">
        <f t="shared" ca="1" si="287"/>
        <v>#N/A</v>
      </c>
      <c r="AE608" s="377">
        <f t="shared" ca="1" si="266"/>
        <v>2241.5251360544435</v>
      </c>
      <c r="AF608" s="344"/>
      <c r="AG608" s="359">
        <f t="shared" ca="1" si="288"/>
        <v>-10.048982408849982</v>
      </c>
      <c r="AH608" s="357">
        <f t="shared" ca="1" si="289"/>
        <v>-1.5130246566675105</v>
      </c>
    </row>
    <row r="609" spans="1:34" x14ac:dyDescent="0.25">
      <c r="A609" s="402">
        <f t="shared" ca="1" si="267"/>
        <v>0.1</v>
      </c>
      <c r="B609" s="357">
        <f t="shared" ca="1" si="268"/>
        <v>15.499999999999901</v>
      </c>
      <c r="C609" s="342"/>
      <c r="D609" s="359">
        <f t="shared" ca="1" si="269"/>
        <v>-0.73497991099444671</v>
      </c>
      <c r="E609" s="360">
        <f t="shared" ca="1" si="270"/>
        <v>-11.090402811193824</v>
      </c>
      <c r="F609" s="357">
        <f t="shared" ca="1" si="271"/>
        <v>11.114730315401328</v>
      </c>
      <c r="G609" s="359">
        <f t="shared" ca="1" si="272"/>
        <v>41.673116314601195</v>
      </c>
      <c r="H609" s="360">
        <f t="shared" ca="1" si="273"/>
        <v>71.617413211358837</v>
      </c>
      <c r="I609" s="357">
        <f t="shared" ca="1" si="274"/>
        <v>82.85953474680386</v>
      </c>
      <c r="J609" s="359">
        <f t="shared" ca="1" si="275"/>
        <v>689.42713280945463</v>
      </c>
      <c r="K609" s="360">
        <f t="shared" ca="1" si="276"/>
        <v>2248.7423293896354</v>
      </c>
      <c r="L609" s="357">
        <f t="shared" ca="1" si="261"/>
        <v>2352.0526855159069</v>
      </c>
      <c r="M609" s="359">
        <f t="shared" ca="1" si="277"/>
        <v>1.0438029953537471</v>
      </c>
      <c r="N609" s="357">
        <f t="shared" ca="1" si="278"/>
        <v>59.805506276883186</v>
      </c>
      <c r="O609" s="343"/>
      <c r="P609" s="363">
        <f t="shared" ca="1" si="279"/>
        <v>23</v>
      </c>
      <c r="Q609" s="357">
        <f t="shared" ca="1" si="280"/>
        <v>0</v>
      </c>
      <c r="R609" s="359">
        <f t="shared" ca="1" si="281"/>
        <v>0</v>
      </c>
      <c r="S609" s="360">
        <f t="shared" ca="1" si="282"/>
        <v>10.637999999999975</v>
      </c>
      <c r="T609" s="357">
        <f t="shared" ca="1" si="262"/>
        <v>104.35877999999975</v>
      </c>
      <c r="U609" s="364">
        <f t="shared" ca="1" si="263"/>
        <v>0</v>
      </c>
      <c r="V609" s="359">
        <f t="shared" ca="1" si="264"/>
        <v>0.97737167901724953</v>
      </c>
      <c r="W609" s="357">
        <f t="shared" ca="1" si="265"/>
        <v>15.323037837634601</v>
      </c>
      <c r="X609" s="343"/>
      <c r="Y609" s="367" t="str">
        <f t="shared" ca="1" si="283"/>
        <v/>
      </c>
      <c r="Z609" s="368" t="str">
        <f t="shared" ca="1" si="284"/>
        <v/>
      </c>
      <c r="AA609" s="369" t="str">
        <f t="shared" ca="1" si="285"/>
        <v/>
      </c>
      <c r="AB609" s="344"/>
      <c r="AC609" s="363" t="e">
        <f t="shared" ca="1" si="286"/>
        <v>#N/A</v>
      </c>
      <c r="AD609" s="376" t="e">
        <f t="shared" ca="1" si="287"/>
        <v>#N/A</v>
      </c>
      <c r="AE609" s="377">
        <f t="shared" ca="1" si="266"/>
        <v>2248.7423293896354</v>
      </c>
      <c r="AF609" s="344"/>
      <c r="AG609" s="359">
        <f t="shared" ca="1" si="288"/>
        <v>-9.984298581950851</v>
      </c>
      <c r="AH609" s="357">
        <f t="shared" ca="1" si="289"/>
        <v>-1.4763559287917167</v>
      </c>
    </row>
    <row r="610" spans="1:34" x14ac:dyDescent="0.25">
      <c r="A610" s="402">
        <f t="shared" ca="1" si="267"/>
        <v>0.1</v>
      </c>
      <c r="B610" s="357">
        <f t="shared" ca="1" si="268"/>
        <v>15.5999999999999</v>
      </c>
      <c r="C610" s="342"/>
      <c r="D610" s="359">
        <f t="shared" ca="1" si="269"/>
        <v>-0.72443325078467513</v>
      </c>
      <c r="E610" s="360">
        <f t="shared" ca="1" si="270"/>
        <v>-11.054976139384994</v>
      </c>
      <c r="F610" s="357">
        <f t="shared" ca="1" si="271"/>
        <v>11.078686789381402</v>
      </c>
      <c r="G610" s="359">
        <f t="shared" ca="1" si="272"/>
        <v>41.600672989522728</v>
      </c>
      <c r="H610" s="360">
        <f t="shared" ca="1" si="273"/>
        <v>70.511915597420341</v>
      </c>
      <c r="I610" s="357">
        <f t="shared" ca="1" si="274"/>
        <v>81.86907984336294</v>
      </c>
      <c r="J610" s="359">
        <f t="shared" ca="1" si="275"/>
        <v>693.59082227466081</v>
      </c>
      <c r="K610" s="360">
        <f t="shared" ca="1" si="276"/>
        <v>2255.8487958300743</v>
      </c>
      <c r="L610" s="357">
        <f t="shared" ca="1" si="261"/>
        <v>2360.0682232494119</v>
      </c>
      <c r="M610" s="359">
        <f t="shared" ca="1" si="277"/>
        <v>1.0377764946060766</v>
      </c>
      <c r="N610" s="357">
        <f t="shared" ca="1" si="278"/>
        <v>59.46021321880923</v>
      </c>
      <c r="O610" s="343"/>
      <c r="P610" s="363">
        <f t="shared" ca="1" si="279"/>
        <v>23</v>
      </c>
      <c r="Q610" s="357">
        <f t="shared" ca="1" si="280"/>
        <v>0</v>
      </c>
      <c r="R610" s="359">
        <f t="shared" ca="1" si="281"/>
        <v>0</v>
      </c>
      <c r="S610" s="360">
        <f t="shared" ca="1" si="282"/>
        <v>10.637999999999975</v>
      </c>
      <c r="T610" s="357">
        <f t="shared" ca="1" si="262"/>
        <v>104.35877999999975</v>
      </c>
      <c r="U610" s="364">
        <f t="shared" ca="1" si="263"/>
        <v>0</v>
      </c>
      <c r="V610" s="359">
        <f t="shared" ca="1" si="264"/>
        <v>0.97666844452954737</v>
      </c>
      <c r="W610" s="357">
        <f t="shared" ca="1" si="265"/>
        <v>14.948138645871911</v>
      </c>
      <c r="X610" s="343"/>
      <c r="Y610" s="367" t="str">
        <f t="shared" ca="1" si="283"/>
        <v/>
      </c>
      <c r="Z610" s="368" t="str">
        <f t="shared" ca="1" si="284"/>
        <v/>
      </c>
      <c r="AA610" s="369" t="str">
        <f t="shared" ca="1" si="285"/>
        <v/>
      </c>
      <c r="AB610" s="344"/>
      <c r="AC610" s="363" t="e">
        <f t="shared" ca="1" si="286"/>
        <v>#N/A</v>
      </c>
      <c r="AD610" s="376" t="e">
        <f t="shared" ca="1" si="287"/>
        <v>#N/A</v>
      </c>
      <c r="AE610" s="377">
        <f t="shared" ca="1" si="266"/>
        <v>2255.8487958300743</v>
      </c>
      <c r="AF610" s="344"/>
      <c r="AG610" s="359">
        <f t="shared" ca="1" si="288"/>
        <v>-9.919415886774166</v>
      </c>
      <c r="AH610" s="357">
        <f t="shared" ca="1" si="289"/>
        <v>-1.4404058881025228</v>
      </c>
    </row>
    <row r="611" spans="1:34" x14ac:dyDescent="0.25">
      <c r="A611" s="402">
        <f t="shared" ca="1" si="267"/>
        <v>0.1</v>
      </c>
      <c r="B611" s="357">
        <f t="shared" ca="1" si="268"/>
        <v>15.6999999999999</v>
      </c>
      <c r="C611" s="342"/>
      <c r="D611" s="359">
        <f t="shared" ca="1" si="269"/>
        <v>-0.71401539957489768</v>
      </c>
      <c r="E611" s="360">
        <f t="shared" ca="1" si="270"/>
        <v>-11.020235074869186</v>
      </c>
      <c r="F611" s="357">
        <f t="shared" ca="1" si="271"/>
        <v>11.043341844577988</v>
      </c>
      <c r="G611" s="359">
        <f t="shared" ca="1" si="272"/>
        <v>41.529271449565236</v>
      </c>
      <c r="H611" s="360">
        <f t="shared" ca="1" si="273"/>
        <v>69.409892089933422</v>
      </c>
      <c r="I611" s="357">
        <f t="shared" ca="1" si="274"/>
        <v>80.885187191894886</v>
      </c>
      <c r="J611" s="359">
        <f t="shared" ca="1" si="275"/>
        <v>697.74731949661521</v>
      </c>
      <c r="K611" s="360">
        <f t="shared" ca="1" si="276"/>
        <v>2262.8448862144419</v>
      </c>
      <c r="L611" s="357">
        <f t="shared" ca="1" si="261"/>
        <v>2367.9776816793615</v>
      </c>
      <c r="M611" s="359">
        <f t="shared" ca="1" si="277"/>
        <v>1.0316136217390173</v>
      </c>
      <c r="N611" s="357">
        <f t="shared" ca="1" si="278"/>
        <v>59.107106613851045</v>
      </c>
      <c r="O611" s="343"/>
      <c r="P611" s="363">
        <f t="shared" ca="1" si="279"/>
        <v>23</v>
      </c>
      <c r="Q611" s="357">
        <f t="shared" ca="1" si="280"/>
        <v>0</v>
      </c>
      <c r="R611" s="359">
        <f t="shared" ca="1" si="281"/>
        <v>0</v>
      </c>
      <c r="S611" s="360">
        <f t="shared" ca="1" si="282"/>
        <v>10.637999999999975</v>
      </c>
      <c r="T611" s="357">
        <f t="shared" ca="1" si="262"/>
        <v>104.35877999999975</v>
      </c>
      <c r="U611" s="364">
        <f t="shared" ca="1" si="263"/>
        <v>0</v>
      </c>
      <c r="V611" s="359">
        <f t="shared" ca="1" si="264"/>
        <v>0.97597657107343394</v>
      </c>
      <c r="W611" s="357">
        <f t="shared" ca="1" si="265"/>
        <v>14.580671476846934</v>
      </c>
      <c r="X611" s="343"/>
      <c r="Y611" s="367" t="str">
        <f t="shared" ca="1" si="283"/>
        <v/>
      </c>
      <c r="Z611" s="368" t="str">
        <f t="shared" ca="1" si="284"/>
        <v/>
      </c>
      <c r="AA611" s="369" t="str">
        <f t="shared" ca="1" si="285"/>
        <v/>
      </c>
      <c r="AB611" s="344"/>
      <c r="AC611" s="363" t="e">
        <f t="shared" ca="1" si="286"/>
        <v>#N/A</v>
      </c>
      <c r="AD611" s="376" t="e">
        <f t="shared" ca="1" si="287"/>
        <v>#N/A</v>
      </c>
      <c r="AE611" s="377">
        <f t="shared" ca="1" si="266"/>
        <v>2262.8448862144419</v>
      </c>
      <c r="AF611" s="344"/>
      <c r="AG611" s="359">
        <f t="shared" ca="1" si="288"/>
        <v>-9.8542869683359395</v>
      </c>
      <c r="AH611" s="357">
        <f t="shared" ca="1" si="289"/>
        <v>-1.4051643773145277</v>
      </c>
    </row>
    <row r="612" spans="1:34" x14ac:dyDescent="0.25">
      <c r="A612" s="402">
        <f t="shared" ca="1" si="267"/>
        <v>0.1</v>
      </c>
      <c r="B612" s="357">
        <f t="shared" ca="1" si="268"/>
        <v>15.799999999999899</v>
      </c>
      <c r="C612" s="342"/>
      <c r="D612" s="359">
        <f t="shared" ca="1" si="269"/>
        <v>-0.70372479989837</v>
      </c>
      <c r="E612" s="360">
        <f t="shared" ca="1" si="270"/>
        <v>-10.986169499657024</v>
      </c>
      <c r="F612" s="357">
        <f t="shared" ca="1" si="271"/>
        <v>11.008685156238517</v>
      </c>
      <c r="G612" s="359">
        <f t="shared" ca="1" si="272"/>
        <v>41.458898969575401</v>
      </c>
      <c r="H612" s="360">
        <f t="shared" ca="1" si="273"/>
        <v>68.311275139967719</v>
      </c>
      <c r="I612" s="357">
        <f t="shared" ca="1" si="274"/>
        <v>79.907888315346142</v>
      </c>
      <c r="J612" s="359">
        <f t="shared" ca="1" si="275"/>
        <v>701.89672801757229</v>
      </c>
      <c r="K612" s="360">
        <f t="shared" ca="1" si="276"/>
        <v>2269.730944575937</v>
      </c>
      <c r="L612" s="357">
        <f t="shared" ca="1" si="261"/>
        <v>2375.7814667109742</v>
      </c>
      <c r="M612" s="359">
        <f t="shared" ca="1" si="277"/>
        <v>1.0253103279911049</v>
      </c>
      <c r="N612" s="357">
        <f t="shared" ca="1" si="278"/>
        <v>58.745954485064466</v>
      </c>
      <c r="O612" s="343"/>
      <c r="P612" s="363">
        <f t="shared" ca="1" si="279"/>
        <v>23</v>
      </c>
      <c r="Q612" s="357">
        <f t="shared" ca="1" si="280"/>
        <v>0</v>
      </c>
      <c r="R612" s="359">
        <f t="shared" ca="1" si="281"/>
        <v>0</v>
      </c>
      <c r="S612" s="360">
        <f t="shared" ca="1" si="282"/>
        <v>10.637999999999975</v>
      </c>
      <c r="T612" s="357">
        <f t="shared" ca="1" si="262"/>
        <v>104.35877999999975</v>
      </c>
      <c r="U612" s="364">
        <f t="shared" ca="1" si="263"/>
        <v>0</v>
      </c>
      <c r="V612" s="359">
        <f t="shared" ca="1" si="264"/>
        <v>0.97529600366296931</v>
      </c>
      <c r="W612" s="357">
        <f t="shared" ca="1" si="265"/>
        <v>14.220533679401576</v>
      </c>
      <c r="X612" s="343"/>
      <c r="Y612" s="367" t="str">
        <f t="shared" ca="1" si="283"/>
        <v/>
      </c>
      <c r="Z612" s="368" t="str">
        <f t="shared" ca="1" si="284"/>
        <v/>
      </c>
      <c r="AA612" s="369" t="str">
        <f t="shared" ca="1" si="285"/>
        <v/>
      </c>
      <c r="AB612" s="344"/>
      <c r="AC612" s="363" t="e">
        <f t="shared" ca="1" si="286"/>
        <v>#N/A</v>
      </c>
      <c r="AD612" s="376" t="e">
        <f t="shared" ca="1" si="287"/>
        <v>#N/A</v>
      </c>
      <c r="AE612" s="377">
        <f t="shared" ca="1" si="266"/>
        <v>2269.730944575937</v>
      </c>
      <c r="AF612" s="344"/>
      <c r="AG612" s="359">
        <f t="shared" ca="1" si="288"/>
        <v>-9.7888630190747961</v>
      </c>
      <c r="AH612" s="357">
        <f t="shared" ca="1" si="289"/>
        <v>-1.3706214962255094</v>
      </c>
    </row>
    <row r="613" spans="1:34" x14ac:dyDescent="0.25">
      <c r="A613" s="402">
        <f t="shared" ca="1" si="267"/>
        <v>0.1</v>
      </c>
      <c r="B613" s="357">
        <f t="shared" ca="1" si="268"/>
        <v>15.899999999999899</v>
      </c>
      <c r="C613" s="342"/>
      <c r="D613" s="359">
        <f t="shared" ca="1" si="269"/>
        <v>-0.69355997073746545</v>
      </c>
      <c r="E613" s="360">
        <f t="shared" ca="1" si="270"/>
        <v>-10.952769517875602</v>
      </c>
      <c r="F613" s="357">
        <f t="shared" ca="1" si="271"/>
        <v>10.974706626817607</v>
      </c>
      <c r="G613" s="359">
        <f t="shared" ca="1" si="272"/>
        <v>41.389542972501651</v>
      </c>
      <c r="H613" s="360">
        <f t="shared" ca="1" si="273"/>
        <v>67.215998188180166</v>
      </c>
      <c r="I613" s="357">
        <f t="shared" ca="1" si="274"/>
        <v>78.937219864307352</v>
      </c>
      <c r="J613" s="359">
        <f t="shared" ca="1" si="275"/>
        <v>706.03915011467609</v>
      </c>
      <c r="K613" s="360">
        <f t="shared" ca="1" si="276"/>
        <v>2276.5073082423442</v>
      </c>
      <c r="L613" s="357">
        <f t="shared" ca="1" si="261"/>
        <v>2383.4799780941012</v>
      </c>
      <c r="M613" s="359">
        <f t="shared" ca="1" si="277"/>
        <v>1.0188624278873508</v>
      </c>
      <c r="N613" s="357">
        <f t="shared" ca="1" si="278"/>
        <v>58.376517022397394</v>
      </c>
      <c r="O613" s="343"/>
      <c r="P613" s="363">
        <f t="shared" ca="1" si="279"/>
        <v>23</v>
      </c>
      <c r="Q613" s="357">
        <f t="shared" ca="1" si="280"/>
        <v>0</v>
      </c>
      <c r="R613" s="359">
        <f t="shared" ca="1" si="281"/>
        <v>0</v>
      </c>
      <c r="S613" s="360">
        <f t="shared" ca="1" si="282"/>
        <v>10.637999999999975</v>
      </c>
      <c r="T613" s="357">
        <f t="shared" ca="1" si="262"/>
        <v>104.35877999999975</v>
      </c>
      <c r="U613" s="364">
        <f t="shared" ca="1" si="263"/>
        <v>0</v>
      </c>
      <c r="V613" s="359">
        <f t="shared" ca="1" si="264"/>
        <v>0.97462668842031275</v>
      </c>
      <c r="W613" s="357">
        <f t="shared" ca="1" si="265"/>
        <v>13.867625204063778</v>
      </c>
      <c r="X613" s="343"/>
      <c r="Y613" s="367" t="str">
        <f t="shared" ca="1" si="283"/>
        <v/>
      </c>
      <c r="Z613" s="368" t="str">
        <f t="shared" ca="1" si="284"/>
        <v/>
      </c>
      <c r="AA613" s="369" t="str">
        <f t="shared" ca="1" si="285"/>
        <v/>
      </c>
      <c r="AB613" s="344"/>
      <c r="AC613" s="363" t="e">
        <f t="shared" ca="1" si="286"/>
        <v>#N/A</v>
      </c>
      <c r="AD613" s="376" t="e">
        <f t="shared" ca="1" si="287"/>
        <v>#N/A</v>
      </c>
      <c r="AE613" s="377">
        <f t="shared" ca="1" si="266"/>
        <v>2276.5073082423442</v>
      </c>
      <c r="AF613" s="344"/>
      <c r="AG613" s="359">
        <f t="shared" ca="1" si="288"/>
        <v>-9.7230936922054312</v>
      </c>
      <c r="AH613" s="357">
        <f t="shared" ca="1" si="289"/>
        <v>-1.3367675953564213</v>
      </c>
    </row>
    <row r="614" spans="1:34" x14ac:dyDescent="0.25">
      <c r="A614" s="402">
        <f t="shared" ca="1" si="267"/>
        <v>0.1</v>
      </c>
      <c r="B614" s="357">
        <f t="shared" ca="1" si="268"/>
        <v>15.999999999999899</v>
      </c>
      <c r="C614" s="342"/>
      <c r="D614" s="359">
        <f t="shared" ca="1" si="269"/>
        <v>-0.68351950767372782</v>
      </c>
      <c r="E614" s="360">
        <f t="shared" ca="1" si="270"/>
        <v>-10.920025448213018</v>
      </c>
      <c r="F614" s="357">
        <f t="shared" ca="1" si="271"/>
        <v>10.941396378296075</v>
      </c>
      <c r="G614" s="359">
        <f t="shared" ca="1" si="272"/>
        <v>41.321191021734279</v>
      </c>
      <c r="H614" s="360">
        <f t="shared" ca="1" si="273"/>
        <v>66.123995643358867</v>
      </c>
      <c r="I614" s="357">
        <f t="shared" ca="1" si="274"/>
        <v>77.9732237841786</v>
      </c>
      <c r="J614" s="359">
        <f t="shared" ca="1" si="275"/>
        <v>710.17468681438788</v>
      </c>
      <c r="K614" s="360">
        <f t="shared" ca="1" si="276"/>
        <v>2283.1743079339212</v>
      </c>
      <c r="L614" s="357">
        <f t="shared" ca="1" si="261"/>
        <v>2391.0736095322231</v>
      </c>
      <c r="M614" s="359">
        <f t="shared" ca="1" si="277"/>
        <v>1.0122655951727557</v>
      </c>
      <c r="N614" s="357">
        <f t="shared" ca="1" si="278"/>
        <v>57.998546349697264</v>
      </c>
      <c r="O614" s="343"/>
      <c r="P614" s="363">
        <f t="shared" ca="1" si="279"/>
        <v>23</v>
      </c>
      <c r="Q614" s="357">
        <f t="shared" ca="1" si="280"/>
        <v>0</v>
      </c>
      <c r="R614" s="359">
        <f t="shared" ca="1" si="281"/>
        <v>0</v>
      </c>
      <c r="S614" s="360">
        <f t="shared" ca="1" si="282"/>
        <v>10.637999999999975</v>
      </c>
      <c r="T614" s="357">
        <f t="shared" ca="1" si="262"/>
        <v>104.35877999999975</v>
      </c>
      <c r="U614" s="364">
        <f t="shared" ca="1" si="263"/>
        <v>0</v>
      </c>
      <c r="V614" s="359">
        <f t="shared" ca="1" si="264"/>
        <v>0.97396857255896241</v>
      </c>
      <c r="W614" s="357">
        <f t="shared" ca="1" si="265"/>
        <v>13.521848539613117</v>
      </c>
      <c r="X614" s="343"/>
      <c r="Y614" s="367" t="str">
        <f t="shared" ca="1" si="283"/>
        <v/>
      </c>
      <c r="Z614" s="368" t="str">
        <f t="shared" ca="1" si="284"/>
        <v/>
      </c>
      <c r="AA614" s="369" t="str">
        <f t="shared" ca="1" si="285"/>
        <v/>
      </c>
      <c r="AB614" s="344"/>
      <c r="AC614" s="363">
        <f t="shared" ca="1" si="286"/>
        <v>15.999999999999899</v>
      </c>
      <c r="AD614" s="376">
        <f t="shared" ca="1" si="287"/>
        <v>710.17468681438788</v>
      </c>
      <c r="AE614" s="377">
        <f t="shared" ca="1" si="266"/>
        <v>2283.1743079339212</v>
      </c>
      <c r="AF614" s="344"/>
      <c r="AG614" s="359">
        <f t="shared" ca="1" si="288"/>
        <v>-9.656927012222452</v>
      </c>
      <c r="AH614" s="357">
        <f t="shared" ca="1" si="289"/>
        <v>-1.3035932697935524</v>
      </c>
    </row>
    <row r="615" spans="1:34" x14ac:dyDescent="0.25">
      <c r="A615" s="402">
        <f t="shared" ca="1" si="267"/>
        <v>0.1</v>
      </c>
      <c r="B615" s="357">
        <f t="shared" ca="1" si="268"/>
        <v>16.099999999999898</v>
      </c>
      <c r="C615" s="342"/>
      <c r="D615" s="359">
        <f t="shared" ca="1" si="269"/>
        <v>-0.67360208314205883</v>
      </c>
      <c r="E615" s="360">
        <f t="shared" ca="1" si="270"/>
        <v>-10.887927816446894</v>
      </c>
      <c r="F615" s="357">
        <f t="shared" ca="1" si="271"/>
        <v>10.908744744587771</v>
      </c>
      <c r="G615" s="359">
        <f t="shared" ca="1" si="272"/>
        <v>41.253830813420073</v>
      </c>
      <c r="H615" s="360">
        <f t="shared" ca="1" si="273"/>
        <v>65.035202861714183</v>
      </c>
      <c r="I615" s="357">
        <f t="shared" ca="1" si="274"/>
        <v>77.015947491715025</v>
      </c>
      <c r="J615" s="359">
        <f t="shared" ca="1" si="275"/>
        <v>714.30343790614563</v>
      </c>
      <c r="K615" s="360">
        <f t="shared" ca="1" si="276"/>
        <v>2289.732267859175</v>
      </c>
      <c r="L615" s="357">
        <f t="shared" ca="1" si="261"/>
        <v>2398.5627487893785</v>
      </c>
      <c r="M615" s="359">
        <f t="shared" ca="1" si="277"/>
        <v>1.0055153587598316</v>
      </c>
      <c r="N615" s="357">
        <f t="shared" ca="1" si="278"/>
        <v>57.611786292521181</v>
      </c>
      <c r="O615" s="343"/>
      <c r="P615" s="363">
        <f t="shared" ca="1" si="279"/>
        <v>23</v>
      </c>
      <c r="Q615" s="357">
        <f t="shared" ca="1" si="280"/>
        <v>0</v>
      </c>
      <c r="R615" s="359">
        <f t="shared" ca="1" si="281"/>
        <v>0</v>
      </c>
      <c r="S615" s="360">
        <f t="shared" ca="1" si="282"/>
        <v>10.637999999999975</v>
      </c>
      <c r="T615" s="357">
        <f t="shared" ca="1" si="262"/>
        <v>104.35877999999975</v>
      </c>
      <c r="U615" s="364">
        <f t="shared" ca="1" si="263"/>
        <v>0</v>
      </c>
      <c r="V615" s="359">
        <f t="shared" ca="1" si="264"/>
        <v>0.97332160436740078</v>
      </c>
      <c r="W615" s="357">
        <f t="shared" ca="1" si="265"/>
        <v>13.183108651644238</v>
      </c>
      <c r="X615" s="343"/>
      <c r="Y615" s="367" t="str">
        <f t="shared" ca="1" si="283"/>
        <v/>
      </c>
      <c r="Z615" s="368" t="str">
        <f t="shared" ca="1" si="284"/>
        <v/>
      </c>
      <c r="AA615" s="369" t="str">
        <f t="shared" ca="1" si="285"/>
        <v/>
      </c>
      <c r="AB615" s="344"/>
      <c r="AC615" s="363" t="e">
        <f t="shared" ca="1" si="286"/>
        <v>#N/A</v>
      </c>
      <c r="AD615" s="376" t="e">
        <f t="shared" ca="1" si="287"/>
        <v>#N/A</v>
      </c>
      <c r="AE615" s="377">
        <f t="shared" ca="1" si="266"/>
        <v>2289.732267859175</v>
      </c>
      <c r="AF615" s="344"/>
      <c r="AG615" s="359">
        <f t="shared" ca="1" si="288"/>
        <v>-9.5903092825799447</v>
      </c>
      <c r="AH615" s="357">
        <f t="shared" ca="1" si="289"/>
        <v>-1.2710893532255263</v>
      </c>
    </row>
    <row r="616" spans="1:34" x14ac:dyDescent="0.25">
      <c r="A616" s="402">
        <f t="shared" ca="1" si="267"/>
        <v>0.1</v>
      </c>
      <c r="B616" s="357">
        <f t="shared" ca="1" si="268"/>
        <v>16.1999999999999</v>
      </c>
      <c r="C616" s="342"/>
      <c r="D616" s="359">
        <f t="shared" ca="1" si="269"/>
        <v>-0.66380644678994238</v>
      </c>
      <c r="E616" s="360">
        <f t="shared" ca="1" si="270"/>
        <v>-10.856467348042111</v>
      </c>
      <c r="F616" s="357">
        <f t="shared" ca="1" si="271"/>
        <v>10.876742264019333</v>
      </c>
      <c r="G616" s="359">
        <f t="shared" ca="1" si="272"/>
        <v>41.18745016874108</v>
      </c>
      <c r="H616" s="360">
        <f t="shared" ca="1" si="273"/>
        <v>63.949556126909968</v>
      </c>
      <c r="I616" s="357">
        <f t="shared" ca="1" si="274"/>
        <v>76.065444061224923</v>
      </c>
      <c r="J616" s="359">
        <f t="shared" ca="1" si="275"/>
        <v>718.42550195525371</v>
      </c>
      <c r="K616" s="360">
        <f t="shared" ca="1" si="276"/>
        <v>2296.1815058086063</v>
      </c>
      <c r="L616" s="357">
        <f t="shared" ca="1" si="261"/>
        <v>2405.947777795091</v>
      </c>
      <c r="M616" s="359">
        <f t="shared" ca="1" si="277"/>
        <v>0.99860709871385578</v>
      </c>
      <c r="N616" s="357">
        <f t="shared" ca="1" si="278"/>
        <v>57.215972148107916</v>
      </c>
      <c r="O616" s="343"/>
      <c r="P616" s="363">
        <f t="shared" ca="1" si="279"/>
        <v>23</v>
      </c>
      <c r="Q616" s="357">
        <f t="shared" ca="1" si="280"/>
        <v>0</v>
      </c>
      <c r="R616" s="359">
        <f t="shared" ca="1" si="281"/>
        <v>0</v>
      </c>
      <c r="S616" s="360">
        <f t="shared" ca="1" si="282"/>
        <v>10.637999999999975</v>
      </c>
      <c r="T616" s="357">
        <f t="shared" ca="1" si="262"/>
        <v>104.35877999999975</v>
      </c>
      <c r="U616" s="364">
        <f t="shared" ca="1" si="263"/>
        <v>0</v>
      </c>
      <c r="V616" s="359">
        <f t="shared" ca="1" si="264"/>
        <v>0.9726857331931259</v>
      </c>
      <c r="W616" s="357">
        <f t="shared" ca="1" si="265"/>
        <v>12.851312923055831</v>
      </c>
      <c r="X616" s="343"/>
      <c r="Y616" s="367" t="str">
        <f t="shared" ca="1" si="283"/>
        <v/>
      </c>
      <c r="Z616" s="368" t="str">
        <f t="shared" ca="1" si="284"/>
        <v/>
      </c>
      <c r="AA616" s="369" t="str">
        <f t="shared" ca="1" si="285"/>
        <v/>
      </c>
      <c r="AB616" s="344"/>
      <c r="AC616" s="363" t="e">
        <f t="shared" ca="1" si="286"/>
        <v>#N/A</v>
      </c>
      <c r="AD616" s="376" t="e">
        <f t="shared" ca="1" si="287"/>
        <v>#N/A</v>
      </c>
      <c r="AE616" s="377">
        <f t="shared" ca="1" si="266"/>
        <v>2296.1815058086063</v>
      </c>
      <c r="AF616" s="344"/>
      <c r="AG616" s="359">
        <f t="shared" ca="1" si="288"/>
        <v>-9.5231849906037205</v>
      </c>
      <c r="AH616" s="357">
        <f t="shared" ca="1" si="289"/>
        <v>-1.239246912168102</v>
      </c>
    </row>
    <row r="617" spans="1:34" x14ac:dyDescent="0.25">
      <c r="A617" s="402">
        <f t="shared" ca="1" si="267"/>
        <v>0.1</v>
      </c>
      <c r="B617" s="357">
        <f t="shared" ca="1" si="268"/>
        <v>16.299999999999901</v>
      </c>
      <c r="C617" s="342"/>
      <c r="D617" s="359">
        <f t="shared" ca="1" si="269"/>
        <v>-0.65413142594259133</v>
      </c>
      <c r="E617" s="360">
        <f t="shared" ca="1" si="270"/>
        <v>-10.825634960802674</v>
      </c>
      <c r="F617" s="357">
        <f t="shared" ca="1" si="271"/>
        <v>10.845379671867592</v>
      </c>
      <c r="G617" s="359">
        <f t="shared" ca="1" si="272"/>
        <v>41.12203702614682</v>
      </c>
      <c r="H617" s="360">
        <f t="shared" ca="1" si="273"/>
        <v>62.866992630829699</v>
      </c>
      <c r="I617" s="357">
        <f t="shared" ca="1" si="274"/>
        <v>75.121772420680983</v>
      </c>
      <c r="J617" s="359">
        <f t="shared" ca="1" si="275"/>
        <v>722.54097631499815</v>
      </c>
      <c r="K617" s="360">
        <f t="shared" ca="1" si="276"/>
        <v>2302.5223332464934</v>
      </c>
      <c r="L617" s="357">
        <f t="shared" ca="1" si="261"/>
        <v>2413.2290727473651</v>
      </c>
      <c r="M617" s="359">
        <f t="shared" ca="1" si="277"/>
        <v>0.99153604230331516</v>
      </c>
      <c r="N617" s="357">
        <f t="shared" ca="1" si="278"/>
        <v>56.810830459085011</v>
      </c>
      <c r="O617" s="343"/>
      <c r="P617" s="363">
        <f t="shared" ca="1" si="279"/>
        <v>23</v>
      </c>
      <c r="Q617" s="357">
        <f t="shared" ca="1" si="280"/>
        <v>0</v>
      </c>
      <c r="R617" s="359">
        <f t="shared" ca="1" si="281"/>
        <v>0</v>
      </c>
      <c r="S617" s="360">
        <f t="shared" ca="1" si="282"/>
        <v>10.637999999999975</v>
      </c>
      <c r="T617" s="357">
        <f t="shared" ca="1" si="262"/>
        <v>104.35877999999975</v>
      </c>
      <c r="U617" s="364">
        <f t="shared" ca="1" si="263"/>
        <v>0</v>
      </c>
      <c r="V617" s="359">
        <f t="shared" ca="1" si="264"/>
        <v>0.97206090942706658</v>
      </c>
      <c r="W617" s="357">
        <f t="shared" ca="1" si="265"/>
        <v>12.526371096395701</v>
      </c>
      <c r="X617" s="343"/>
      <c r="Y617" s="367" t="str">
        <f t="shared" ca="1" si="283"/>
        <v/>
      </c>
      <c r="Z617" s="368" t="str">
        <f t="shared" ca="1" si="284"/>
        <v/>
      </c>
      <c r="AA617" s="369" t="str">
        <f t="shared" ca="1" si="285"/>
        <v/>
      </c>
      <c r="AB617" s="344"/>
      <c r="AC617" s="363" t="e">
        <f t="shared" ca="1" si="286"/>
        <v>#N/A</v>
      </c>
      <c r="AD617" s="376" t="e">
        <f t="shared" ca="1" si="287"/>
        <v>#N/A</v>
      </c>
      <c r="AE617" s="377">
        <f t="shared" ca="1" si="266"/>
        <v>2302.5223332464934</v>
      </c>
      <c r="AF617" s="344"/>
      <c r="AG617" s="359">
        <f t="shared" ca="1" si="288"/>
        <v>-9.4554967097305749</v>
      </c>
      <c r="AH617" s="357">
        <f t="shared" ca="1" si="289"/>
        <v>-1.2080572403699814</v>
      </c>
    </row>
    <row r="618" spans="1:34" x14ac:dyDescent="0.25">
      <c r="A618" s="402">
        <f t="shared" ca="1" si="267"/>
        <v>0.1</v>
      </c>
      <c r="B618" s="357">
        <f t="shared" ca="1" si="268"/>
        <v>16.399999999999903</v>
      </c>
      <c r="C618" s="342"/>
      <c r="D618" s="359">
        <f t="shared" ca="1" si="269"/>
        <v>-0.64457592617486092</v>
      </c>
      <c r="E618" s="360">
        <f t="shared" ca="1" si="270"/>
        <v>-10.795421757562243</v>
      </c>
      <c r="F618" s="357">
        <f t="shared" ca="1" si="271"/>
        <v>10.814647892939115</v>
      </c>
      <c r="G618" s="359">
        <f t="shared" ca="1" si="272"/>
        <v>41.057579433529334</v>
      </c>
      <c r="H618" s="360">
        <f t="shared" ca="1" si="273"/>
        <v>61.787450455073476</v>
      </c>
      <c r="I618" s="357">
        <f t="shared" ca="1" si="274"/>
        <v>74.184997557988311</v>
      </c>
      <c r="J618" s="359">
        <f t="shared" ca="1" si="275"/>
        <v>726.64995713798191</v>
      </c>
      <c r="K618" s="360">
        <f t="shared" ca="1" si="276"/>
        <v>2308.7550554007885</v>
      </c>
      <c r="L618" s="357">
        <f t="shared" ca="1" si="261"/>
        <v>2420.4070042138223</v>
      </c>
      <c r="M618" s="359">
        <f t="shared" ca="1" si="277"/>
        <v>0.98429726014717389</v>
      </c>
      <c r="N618" s="357">
        <f t="shared" ca="1" si="278"/>
        <v>56.396078792723507</v>
      </c>
      <c r="O618" s="343"/>
      <c r="P618" s="363">
        <f t="shared" ca="1" si="279"/>
        <v>23</v>
      </c>
      <c r="Q618" s="357">
        <f t="shared" ca="1" si="280"/>
        <v>0</v>
      </c>
      <c r="R618" s="359">
        <f t="shared" ca="1" si="281"/>
        <v>0</v>
      </c>
      <c r="S618" s="360">
        <f t="shared" ca="1" si="282"/>
        <v>10.637999999999975</v>
      </c>
      <c r="T618" s="357">
        <f t="shared" ca="1" si="262"/>
        <v>104.35877999999975</v>
      </c>
      <c r="U618" s="364">
        <f t="shared" ca="1" si="263"/>
        <v>0</v>
      </c>
      <c r="V618" s="359">
        <f t="shared" ca="1" si="264"/>
        <v>0.97144708448835881</v>
      </c>
      <c r="W618" s="357">
        <f t="shared" ca="1" si="265"/>
        <v>12.208195217994453</v>
      </c>
      <c r="X618" s="343"/>
      <c r="Y618" s="367" t="str">
        <f t="shared" ca="1" si="283"/>
        <v/>
      </c>
      <c r="Z618" s="368" t="str">
        <f t="shared" ca="1" si="284"/>
        <v/>
      </c>
      <c r="AA618" s="369" t="str">
        <f t="shared" ca="1" si="285"/>
        <v/>
      </c>
      <c r="AB618" s="344"/>
      <c r="AC618" s="363" t="e">
        <f t="shared" ca="1" si="286"/>
        <v>#N/A</v>
      </c>
      <c r="AD618" s="376" t="e">
        <f t="shared" ca="1" si="287"/>
        <v>#N/A</v>
      </c>
      <c r="AE618" s="377">
        <f t="shared" ca="1" si="266"/>
        <v>2308.7550554007885</v>
      </c>
      <c r="AF618" s="344"/>
      <c r="AG618" s="359">
        <f t="shared" ca="1" si="288"/>
        <v>-9.387184999212737</v>
      </c>
      <c r="AH618" s="357">
        <f t="shared" ca="1" si="289"/>
        <v>-1.1775118533930937</v>
      </c>
    </row>
    <row r="619" spans="1:34" x14ac:dyDescent="0.25">
      <c r="A619" s="402">
        <f t="shared" ca="1" si="267"/>
        <v>0.1</v>
      </c>
      <c r="B619" s="357">
        <f t="shared" ca="1" si="268"/>
        <v>16.499999999999904</v>
      </c>
      <c r="C619" s="342"/>
      <c r="D619" s="359">
        <f t="shared" ca="1" si="269"/>
        <v>-0.63513893199066007</v>
      </c>
      <c r="E619" s="360">
        <f t="shared" ca="1" si="270"/>
        <v>-10.765819018897476</v>
      </c>
      <c r="F619" s="357">
        <f t="shared" ca="1" si="271"/>
        <v>10.784538034175819</v>
      </c>
      <c r="G619" s="359">
        <f t="shared" ca="1" si="272"/>
        <v>40.994065540330269</v>
      </c>
      <c r="H619" s="360">
        <f t="shared" ca="1" si="273"/>
        <v>60.71086855318373</v>
      </c>
      <c r="I619" s="357">
        <f t="shared" ca="1" si="274"/>
        <v>73.255190737632006</v>
      </c>
      <c r="J619" s="359">
        <f t="shared" ca="1" si="275"/>
        <v>730.75253938667493</v>
      </c>
      <c r="K619" s="360">
        <f t="shared" ca="1" si="276"/>
        <v>2314.8799713512012</v>
      </c>
      <c r="L619" s="357">
        <f t="shared" ca="1" si="261"/>
        <v>2427.4819372310503</v>
      </c>
      <c r="M619" s="359">
        <f t="shared" ca="1" si="277"/>
        <v>0.97688566249526887</v>
      </c>
      <c r="N619" s="357">
        <f t="shared" ca="1" si="278"/>
        <v>55.97142552782028</v>
      </c>
      <c r="O619" s="343"/>
      <c r="P619" s="363">
        <f t="shared" ca="1" si="279"/>
        <v>23</v>
      </c>
      <c r="Q619" s="357">
        <f t="shared" ca="1" si="280"/>
        <v>0</v>
      </c>
      <c r="R619" s="359">
        <f t="shared" ca="1" si="281"/>
        <v>0</v>
      </c>
      <c r="S619" s="360">
        <f t="shared" ca="1" si="282"/>
        <v>10.637999999999975</v>
      </c>
      <c r="T619" s="357">
        <f t="shared" ca="1" si="262"/>
        <v>104.35877999999975</v>
      </c>
      <c r="U619" s="364">
        <f t="shared" ca="1" si="263"/>
        <v>0</v>
      </c>
      <c r="V619" s="359">
        <f t="shared" ca="1" si="264"/>
        <v>0.97084421080948224</v>
      </c>
      <c r="W619" s="357">
        <f t="shared" ca="1" si="265"/>
        <v>11.896699583823189</v>
      </c>
      <c r="X619" s="343"/>
      <c r="Y619" s="367" t="str">
        <f t="shared" ca="1" si="283"/>
        <v/>
      </c>
      <c r="Z619" s="368" t="str">
        <f t="shared" ca="1" si="284"/>
        <v/>
      </c>
      <c r="AA619" s="369" t="str">
        <f t="shared" ca="1" si="285"/>
        <v/>
      </c>
      <c r="AB619" s="344"/>
      <c r="AC619" s="363" t="e">
        <f t="shared" ca="1" si="286"/>
        <v>#N/A</v>
      </c>
      <c r="AD619" s="376" t="e">
        <f t="shared" ca="1" si="287"/>
        <v>#N/A</v>
      </c>
      <c r="AE619" s="377">
        <f t="shared" ca="1" si="266"/>
        <v>2314.8799713512012</v>
      </c>
      <c r="AF619" s="344"/>
      <c r="AG619" s="359">
        <f t="shared" ca="1" si="288"/>
        <v>-9.3181883014770364</v>
      </c>
      <c r="AH619" s="357">
        <f t="shared" ca="1" si="289"/>
        <v>-1.1476024833610154</v>
      </c>
    </row>
    <row r="620" spans="1:34" x14ac:dyDescent="0.25">
      <c r="A620" s="402">
        <f t="shared" ca="1" si="267"/>
        <v>0.1</v>
      </c>
      <c r="B620" s="357">
        <f t="shared" ca="1" si="268"/>
        <v>16.599999999999905</v>
      </c>
      <c r="C620" s="342"/>
      <c r="D620" s="359">
        <f t="shared" ca="1" si="269"/>
        <v>-0.62581950761048177</v>
      </c>
      <c r="E620" s="360">
        <f t="shared" ca="1" si="270"/>
        <v>-10.736818195847867</v>
      </c>
      <c r="F620" s="357">
        <f t="shared" ca="1" si="271"/>
        <v>10.755041377270274</v>
      </c>
      <c r="G620" s="359">
        <f t="shared" ca="1" si="272"/>
        <v>40.931483589569218</v>
      </c>
      <c r="H620" s="360">
        <f t="shared" ca="1" si="273"/>
        <v>59.637186733598945</v>
      </c>
      <c r="I620" s="357">
        <f t="shared" ca="1" si="274"/>
        <v>72.332429727898145</v>
      </c>
      <c r="J620" s="359">
        <f t="shared" ca="1" si="275"/>
        <v>734.84881684316986</v>
      </c>
      <c r="K620" s="360">
        <f t="shared" ca="1" si="276"/>
        <v>2320.8973741155405</v>
      </c>
      <c r="L620" s="357">
        <f t="shared" ca="1" si="261"/>
        <v>2434.4542314022292</v>
      </c>
      <c r="M620" s="359">
        <f t="shared" ca="1" si="277"/>
        <v>0.9692959956833358</v>
      </c>
      <c r="N620" s="357">
        <f t="shared" ca="1" si="278"/>
        <v>55.536569651585999</v>
      </c>
      <c r="O620" s="343"/>
      <c r="P620" s="363">
        <f t="shared" ca="1" si="279"/>
        <v>23</v>
      </c>
      <c r="Q620" s="357">
        <f t="shared" ca="1" si="280"/>
        <v>0</v>
      </c>
      <c r="R620" s="359">
        <f t="shared" ca="1" si="281"/>
        <v>0</v>
      </c>
      <c r="S620" s="360">
        <f t="shared" ca="1" si="282"/>
        <v>10.637999999999975</v>
      </c>
      <c r="T620" s="357">
        <f t="shared" ca="1" si="262"/>
        <v>104.35877999999975</v>
      </c>
      <c r="U620" s="364">
        <f t="shared" ca="1" si="263"/>
        <v>0</v>
      </c>
      <c r="V620" s="359">
        <f t="shared" ca="1" si="264"/>
        <v>0.97025224182173408</v>
      </c>
      <c r="W620" s="357">
        <f t="shared" ca="1" si="265"/>
        <v>11.591800687012341</v>
      </c>
      <c r="X620" s="343"/>
      <c r="Y620" s="367" t="str">
        <f t="shared" ca="1" si="283"/>
        <v/>
      </c>
      <c r="Z620" s="368" t="str">
        <f t="shared" ca="1" si="284"/>
        <v/>
      </c>
      <c r="AA620" s="369" t="str">
        <f t="shared" ca="1" si="285"/>
        <v/>
      </c>
      <c r="AB620" s="344"/>
      <c r="AC620" s="363" t="e">
        <f t="shared" ca="1" si="286"/>
        <v>#N/A</v>
      </c>
      <c r="AD620" s="376" t="e">
        <f t="shared" ca="1" si="287"/>
        <v>#N/A</v>
      </c>
      <c r="AE620" s="377">
        <f t="shared" ca="1" si="266"/>
        <v>2320.8973741155405</v>
      </c>
      <c r="AF620" s="344"/>
      <c r="AG620" s="359">
        <f t="shared" ca="1" si="288"/>
        <v>-9.248442837388108</v>
      </c>
      <c r="AH620" s="357">
        <f t="shared" ca="1" si="289"/>
        <v>-1.1183210738694507</v>
      </c>
    </row>
    <row r="621" spans="1:34" x14ac:dyDescent="0.25">
      <c r="A621" s="402">
        <f t="shared" ca="1" si="267"/>
        <v>0.1</v>
      </c>
      <c r="B621" s="357">
        <f t="shared" ca="1" si="268"/>
        <v>16.699999999999907</v>
      </c>
      <c r="C621" s="342"/>
      <c r="D621" s="359">
        <f t="shared" ca="1" si="269"/>
        <v>-0.61661679786746493</v>
      </c>
      <c r="E621" s="360">
        <f t="shared" ca="1" si="270"/>
        <v>-10.708410902625259</v>
      </c>
      <c r="F621" s="357">
        <f t="shared" ca="1" si="271"/>
        <v>10.726149371273729</v>
      </c>
      <c r="G621" s="359">
        <f t="shared" ca="1" si="272"/>
        <v>40.869821909782473</v>
      </c>
      <c r="H621" s="360">
        <f t="shared" ca="1" si="273"/>
        <v>58.566345643336419</v>
      </c>
      <c r="I621" s="357">
        <f t="shared" ca="1" si="274"/>
        <v>71.416799038826198</v>
      </c>
      <c r="J621" s="359">
        <f t="shared" ca="1" si="275"/>
        <v>738.93888211813749</v>
      </c>
      <c r="K621" s="360">
        <f t="shared" ca="1" si="276"/>
        <v>2326.8075507343874</v>
      </c>
      <c r="L621" s="357">
        <f t="shared" ca="1" si="261"/>
        <v>2441.3242409931054</v>
      </c>
      <c r="M621" s="359">
        <f t="shared" ca="1" si="277"/>
        <v>0.9615228388099506</v>
      </c>
      <c r="N621" s="357">
        <f t="shared" ca="1" si="278"/>
        <v>55.091200569247924</v>
      </c>
      <c r="O621" s="343"/>
      <c r="P621" s="363">
        <f t="shared" ca="1" si="279"/>
        <v>23</v>
      </c>
      <c r="Q621" s="357">
        <f t="shared" ca="1" si="280"/>
        <v>0</v>
      </c>
      <c r="R621" s="359">
        <f t="shared" ca="1" si="281"/>
        <v>0</v>
      </c>
      <c r="S621" s="360">
        <f t="shared" ca="1" si="282"/>
        <v>10.637999999999975</v>
      </c>
      <c r="T621" s="357">
        <f t="shared" ca="1" si="262"/>
        <v>104.35877999999975</v>
      </c>
      <c r="U621" s="364">
        <f t="shared" ca="1" si="263"/>
        <v>0</v>
      </c>
      <c r="V621" s="359">
        <f t="shared" ca="1" si="264"/>
        <v>0.96967113194104015</v>
      </c>
      <c r="W621" s="357">
        <f t="shared" ca="1" si="265"/>
        <v>11.293417166971068</v>
      </c>
      <c r="X621" s="343"/>
      <c r="Y621" s="367" t="str">
        <f t="shared" ca="1" si="283"/>
        <v/>
      </c>
      <c r="Z621" s="368" t="str">
        <f t="shared" ca="1" si="284"/>
        <v/>
      </c>
      <c r="AA621" s="369" t="str">
        <f t="shared" ca="1" si="285"/>
        <v/>
      </c>
      <c r="AB621" s="344"/>
      <c r="AC621" s="363" t="e">
        <f t="shared" ca="1" si="286"/>
        <v>#N/A</v>
      </c>
      <c r="AD621" s="376" t="e">
        <f t="shared" ca="1" si="287"/>
        <v>#N/A</v>
      </c>
      <c r="AE621" s="377">
        <f t="shared" ca="1" si="266"/>
        <v>2326.8075507343874</v>
      </c>
      <c r="AF621" s="344"/>
      <c r="AG621" s="359">
        <f t="shared" ca="1" si="288"/>
        <v>-9.1778824997342561</v>
      </c>
      <c r="AH621" s="357">
        <f t="shared" ca="1" si="289"/>
        <v>-1.089659775052864</v>
      </c>
    </row>
    <row r="622" spans="1:34" x14ac:dyDescent="0.25">
      <c r="A622" s="402">
        <f t="shared" ca="1" si="267"/>
        <v>0.1</v>
      </c>
      <c r="B622" s="357">
        <f t="shared" ca="1" si="268"/>
        <v>16.799999999999908</v>
      </c>
      <c r="C622" s="342"/>
      <c r="D622" s="359">
        <f t="shared" ca="1" si="269"/>
        <v>-0.60753002921216115</v>
      </c>
      <c r="E622" s="360">
        <f t="shared" ca="1" si="270"/>
        <v>-10.680588909295668</v>
      </c>
      <c r="F622" s="357">
        <f t="shared" ca="1" si="271"/>
        <v>10.697853625179407</v>
      </c>
      <c r="G622" s="359">
        <f t="shared" ca="1" si="272"/>
        <v>40.809068906861256</v>
      </c>
      <c r="H622" s="360">
        <f t="shared" ca="1" si="273"/>
        <v>57.498286752406855</v>
      </c>
      <c r="I622" s="357">
        <f t="shared" ca="1" si="274"/>
        <v>70.508390171006994</v>
      </c>
      <c r="J622" s="359">
        <f t="shared" ca="1" si="275"/>
        <v>743.02282665896962</v>
      </c>
      <c r="K622" s="360">
        <f t="shared" ca="1" si="276"/>
        <v>2332.6107823541747</v>
      </c>
      <c r="L622" s="357">
        <f t="shared" ca="1" si="261"/>
        <v>2448.0923150263839</v>
      </c>
      <c r="M622" s="359">
        <f t="shared" ca="1" si="277"/>
        <v>0.95356060068908688</v>
      </c>
      <c r="N622" s="357">
        <f t="shared" ca="1" si="278"/>
        <v>54.63499792944426</v>
      </c>
      <c r="O622" s="343"/>
      <c r="P622" s="363">
        <f t="shared" ca="1" si="279"/>
        <v>23</v>
      </c>
      <c r="Q622" s="357">
        <f t="shared" ca="1" si="280"/>
        <v>0</v>
      </c>
      <c r="R622" s="359">
        <f t="shared" ca="1" si="281"/>
        <v>0</v>
      </c>
      <c r="S622" s="360">
        <f t="shared" ca="1" si="282"/>
        <v>10.637999999999975</v>
      </c>
      <c r="T622" s="357">
        <f t="shared" ca="1" si="262"/>
        <v>104.35877999999975</v>
      </c>
      <c r="U622" s="364">
        <f t="shared" ca="1" si="263"/>
        <v>0</v>
      </c>
      <c r="V622" s="359">
        <f t="shared" ca="1" si="264"/>
        <v>0.96910083655408175</v>
      </c>
      <c r="W622" s="357">
        <f t="shared" ca="1" si="265"/>
        <v>11.001469760048444</v>
      </c>
      <c r="X622" s="343"/>
      <c r="Y622" s="367" t="str">
        <f t="shared" ca="1" si="283"/>
        <v/>
      </c>
      <c r="Z622" s="368" t="str">
        <f t="shared" ca="1" si="284"/>
        <v/>
      </c>
      <c r="AA622" s="369" t="str">
        <f t="shared" ca="1" si="285"/>
        <v/>
      </c>
      <c r="AB622" s="344"/>
      <c r="AC622" s="363" t="e">
        <f t="shared" ca="1" si="286"/>
        <v>#N/A</v>
      </c>
      <c r="AD622" s="376" t="e">
        <f t="shared" ca="1" si="287"/>
        <v>#N/A</v>
      </c>
      <c r="AE622" s="377">
        <f t="shared" ca="1" si="266"/>
        <v>2332.6107823541747</v>
      </c>
      <c r="AF622" s="344"/>
      <c r="AG622" s="359">
        <f t="shared" ca="1" si="288"/>
        <v>-9.1064387453345983</v>
      </c>
      <c r="AH622" s="357">
        <f t="shared" ca="1" si="289"/>
        <v>-1.0616109388015693</v>
      </c>
    </row>
    <row r="623" spans="1:34" x14ac:dyDescent="0.25">
      <c r="A623" s="402">
        <f t="shared" ca="1" si="267"/>
        <v>0.1</v>
      </c>
      <c r="B623" s="357">
        <f t="shared" ca="1" si="268"/>
        <v>16.89999999999991</v>
      </c>
      <c r="C623" s="342"/>
      <c r="D623" s="359">
        <f t="shared" ca="1" si="269"/>
        <v>-0.5985585108258511</v>
      </c>
      <c r="E623" s="360">
        <f t="shared" ca="1" si="270"/>
        <v>-10.653344134415477</v>
      </c>
      <c r="F623" s="357">
        <f t="shared" ca="1" si="271"/>
        <v>10.670145900462968</v>
      </c>
      <c r="G623" s="359">
        <f t="shared" ca="1" si="272"/>
        <v>40.749213055778668</v>
      </c>
      <c r="H623" s="360">
        <f t="shared" ca="1" si="273"/>
        <v>56.432952338965308</v>
      </c>
      <c r="I623" s="357">
        <f t="shared" ca="1" si="274"/>
        <v>69.607301875285856</v>
      </c>
      <c r="J623" s="359">
        <f t="shared" ca="1" si="275"/>
        <v>747.10074075710156</v>
      </c>
      <c r="K623" s="360">
        <f t="shared" ca="1" si="276"/>
        <v>2338.3073443087433</v>
      </c>
      <c r="L623" s="357">
        <f t="shared" ca="1" si="261"/>
        <v>2454.7587973746049</v>
      </c>
      <c r="M623" s="359">
        <f t="shared" ca="1" si="277"/>
        <v>0.94540351713907222</v>
      </c>
      <c r="N623" s="357">
        <f t="shared" ca="1" si="278"/>
        <v>54.167631468892829</v>
      </c>
      <c r="O623" s="343"/>
      <c r="P623" s="363">
        <f t="shared" ca="1" si="279"/>
        <v>23</v>
      </c>
      <c r="Q623" s="357">
        <f t="shared" ca="1" si="280"/>
        <v>0</v>
      </c>
      <c r="R623" s="359">
        <f t="shared" ca="1" si="281"/>
        <v>0</v>
      </c>
      <c r="S623" s="360">
        <f t="shared" ca="1" si="282"/>
        <v>10.637999999999975</v>
      </c>
      <c r="T623" s="357">
        <f t="shared" ca="1" si="262"/>
        <v>104.35877999999975</v>
      </c>
      <c r="U623" s="364">
        <f t="shared" ca="1" si="263"/>
        <v>0</v>
      </c>
      <c r="V623" s="359">
        <f t="shared" ca="1" si="264"/>
        <v>0.96854131200473481</v>
      </c>
      <c r="W623" s="357">
        <f t="shared" ca="1" si="265"/>
        <v>10.715881251679685</v>
      </c>
      <c r="X623" s="343"/>
      <c r="Y623" s="367" t="str">
        <f t="shared" ca="1" si="283"/>
        <v/>
      </c>
      <c r="Z623" s="368" t="str">
        <f t="shared" ca="1" si="284"/>
        <v/>
      </c>
      <c r="AA623" s="369" t="str">
        <f t="shared" ca="1" si="285"/>
        <v/>
      </c>
      <c r="AB623" s="344"/>
      <c r="AC623" s="363" t="e">
        <f t="shared" ca="1" si="286"/>
        <v>#N/A</v>
      </c>
      <c r="AD623" s="376" t="e">
        <f t="shared" ca="1" si="287"/>
        <v>#N/A</v>
      </c>
      <c r="AE623" s="377">
        <f t="shared" ca="1" si="266"/>
        <v>2338.3073443087433</v>
      </c>
      <c r="AF623" s="344"/>
      <c r="AG623" s="359">
        <f t="shared" ca="1" si="288"/>
        <v>-9.0340404862582879</v>
      </c>
      <c r="AH623" s="357">
        <f t="shared" ca="1" si="289"/>
        <v>-1.0341671141237516</v>
      </c>
    </row>
    <row r="624" spans="1:34" x14ac:dyDescent="0.25">
      <c r="A624" s="402">
        <f t="shared" ca="1" si="267"/>
        <v>0.1</v>
      </c>
      <c r="B624" s="357">
        <f t="shared" ca="1" si="268"/>
        <v>16.999999999999911</v>
      </c>
      <c r="C624" s="342"/>
      <c r="D624" s="359">
        <f t="shared" ca="1" si="269"/>
        <v>-0.58970163584187463</v>
      </c>
      <c r="E624" s="360">
        <f t="shared" ca="1" si="270"/>
        <v>-10.626668637603423</v>
      </c>
      <c r="F624" s="357">
        <f t="shared" ca="1" si="271"/>
        <v>10.643018103561545</v>
      </c>
      <c r="G624" s="359">
        <f t="shared" ca="1" si="272"/>
        <v>40.690242892194483</v>
      </c>
      <c r="H624" s="360">
        <f t="shared" ca="1" si="273"/>
        <v>55.370285475204966</v>
      </c>
      <c r="I624" s="357">
        <f t="shared" ca="1" si="274"/>
        <v>68.713640423364836</v>
      </c>
      <c r="J624" s="359">
        <f t="shared" ca="1" si="275"/>
        <v>751.17271355450021</v>
      </c>
      <c r="K624" s="360">
        <f t="shared" ca="1" si="276"/>
        <v>2343.897506199452</v>
      </c>
      <c r="L624" s="357">
        <f t="shared" ca="1" si="261"/>
        <v>2461.3240268515729</v>
      </c>
      <c r="M624" s="359">
        <f t="shared" ca="1" si="277"/>
        <v>0.93704564867654916</v>
      </c>
      <c r="N624" s="357">
        <f t="shared" ca="1" si="278"/>
        <v>53.688760880264759</v>
      </c>
      <c r="O624" s="343"/>
      <c r="P624" s="363">
        <f t="shared" ca="1" si="279"/>
        <v>23</v>
      </c>
      <c r="Q624" s="357">
        <f t="shared" ca="1" si="280"/>
        <v>0</v>
      </c>
      <c r="R624" s="359">
        <f t="shared" ca="1" si="281"/>
        <v>0</v>
      </c>
      <c r="S624" s="360">
        <f t="shared" ca="1" si="282"/>
        <v>10.637999999999975</v>
      </c>
      <c r="T624" s="357">
        <f t="shared" ca="1" si="262"/>
        <v>104.35877999999975</v>
      </c>
      <c r="U624" s="364">
        <f t="shared" ca="1" si="263"/>
        <v>0</v>
      </c>
      <c r="V624" s="359">
        <f t="shared" ca="1" si="264"/>
        <v>0.96799251558080446</v>
      </c>
      <c r="W624" s="357">
        <f t="shared" ca="1" si="265"/>
        <v>10.436576429962038</v>
      </c>
      <c r="X624" s="343"/>
      <c r="Y624" s="367" t="str">
        <f t="shared" ca="1" si="283"/>
        <v/>
      </c>
      <c r="Z624" s="368" t="str">
        <f t="shared" ca="1" si="284"/>
        <v/>
      </c>
      <c r="AA624" s="369" t="str">
        <f t="shared" ca="1" si="285"/>
        <v/>
      </c>
      <c r="AB624" s="344"/>
      <c r="AC624" s="363">
        <f t="shared" ca="1" si="286"/>
        <v>16.999999999999911</v>
      </c>
      <c r="AD624" s="376">
        <f t="shared" ca="1" si="287"/>
        <v>751.17271355450021</v>
      </c>
      <c r="AE624" s="377">
        <f t="shared" ca="1" si="266"/>
        <v>2343.897506199452</v>
      </c>
      <c r="AF624" s="344"/>
      <c r="AG624" s="359">
        <f t="shared" ca="1" si="288"/>
        <v>-8.9606139807520258</v>
      </c>
      <c r="AH624" s="357">
        <f t="shared" ca="1" si="289"/>
        <v>-1.0073210426470869</v>
      </c>
    </row>
    <row r="625" spans="1:34" x14ac:dyDescent="0.25">
      <c r="A625" s="402">
        <f t="shared" ca="1" si="267"/>
        <v>0.1</v>
      </c>
      <c r="B625" s="357">
        <f t="shared" ca="1" si="268"/>
        <v>17.099999999999913</v>
      </c>
      <c r="C625" s="342"/>
      <c r="D625" s="359">
        <f t="shared" ca="1" si="269"/>
        <v>-0.58095888267392082</v>
      </c>
      <c r="E625" s="360">
        <f t="shared" ca="1" si="270"/>
        <v>-10.60055461202916</v>
      </c>
      <c r="F625" s="357">
        <f t="shared" ca="1" si="271"/>
        <v>10.616462278271912</v>
      </c>
      <c r="G625" s="359">
        <f t="shared" ca="1" si="272"/>
        <v>40.632147003927088</v>
      </c>
      <c r="H625" s="360">
        <f t="shared" ca="1" si="273"/>
        <v>54.310230014002052</v>
      </c>
      <c r="I625" s="357">
        <f t="shared" ca="1" si="274"/>
        <v>67.827519889220113</v>
      </c>
      <c r="J625" s="359">
        <f t="shared" ca="1" si="275"/>
        <v>755.23883304930632</v>
      </c>
      <c r="K625" s="360">
        <f t="shared" ca="1" si="276"/>
        <v>2349.3815319739124</v>
      </c>
      <c r="L625" s="357">
        <f t="shared" ca="1" si="261"/>
        <v>2467.7883373024042</v>
      </c>
      <c r="M625" s="359">
        <f t="shared" ca="1" si="277"/>
        <v>0.92848087869263107</v>
      </c>
      <c r="N625" s="357">
        <f t="shared" ca="1" si="278"/>
        <v>53.198035707685925</v>
      </c>
      <c r="O625" s="343"/>
      <c r="P625" s="363">
        <f t="shared" ca="1" si="279"/>
        <v>23</v>
      </c>
      <c r="Q625" s="357">
        <f t="shared" ca="1" si="280"/>
        <v>0</v>
      </c>
      <c r="R625" s="359">
        <f t="shared" ca="1" si="281"/>
        <v>0</v>
      </c>
      <c r="S625" s="360">
        <f t="shared" ca="1" si="282"/>
        <v>10.637999999999975</v>
      </c>
      <c r="T625" s="357">
        <f t="shared" ca="1" si="262"/>
        <v>104.35877999999975</v>
      </c>
      <c r="U625" s="364">
        <f t="shared" ca="1" si="263"/>
        <v>0</v>
      </c>
      <c r="V625" s="359">
        <f t="shared" ca="1" si="264"/>
        <v>0.96745440550104966</v>
      </c>
      <c r="W625" s="357">
        <f t="shared" ca="1" si="265"/>
        <v>10.163482040607008</v>
      </c>
      <c r="X625" s="343"/>
      <c r="Y625" s="367" t="str">
        <f t="shared" ca="1" si="283"/>
        <v/>
      </c>
      <c r="Z625" s="368" t="str">
        <f t="shared" ca="1" si="284"/>
        <v/>
      </c>
      <c r="AA625" s="369" t="str">
        <f t="shared" ca="1" si="285"/>
        <v/>
      </c>
      <c r="AB625" s="344"/>
      <c r="AC625" s="363" t="e">
        <f t="shared" ca="1" si="286"/>
        <v>#N/A</v>
      </c>
      <c r="AD625" s="376" t="e">
        <f t="shared" ca="1" si="287"/>
        <v>#N/A</v>
      </c>
      <c r="AE625" s="377">
        <f t="shared" ca="1" si="266"/>
        <v>2349.3815319739124</v>
      </c>
      <c r="AF625" s="344"/>
      <c r="AG625" s="359">
        <f t="shared" ca="1" si="288"/>
        <v>-8.8860827245926721</v>
      </c>
      <c r="AH625" s="357">
        <f t="shared" ca="1" si="289"/>
        <v>-0.98106565425475301</v>
      </c>
    </row>
    <row r="626" spans="1:34" x14ac:dyDescent="0.25">
      <c r="A626" s="402">
        <f t="shared" ca="1" si="267"/>
        <v>0.1</v>
      </c>
      <c r="B626" s="357">
        <f t="shared" ca="1" si="268"/>
        <v>17.199999999999914</v>
      </c>
      <c r="C626" s="342"/>
      <c r="D626" s="359">
        <f t="shared" ca="1" si="269"/>
        <v>-0.57232981644967018</v>
      </c>
      <c r="E626" s="360">
        <f t="shared" ca="1" si="270"/>
        <v>-10.574994376798474</v>
      </c>
      <c r="F626" s="357">
        <f t="shared" ca="1" si="271"/>
        <v>10.590470598047881</v>
      </c>
      <c r="G626" s="359">
        <f t="shared" ca="1" si="272"/>
        <v>40.574914022282123</v>
      </c>
      <c r="H626" s="360">
        <f t="shared" ca="1" si="273"/>
        <v>53.252730576322207</v>
      </c>
      <c r="I626" s="357">
        <f t="shared" ca="1" si="274"/>
        <v>66.949062441157068</v>
      </c>
      <c r="J626" s="359">
        <f t="shared" ca="1" si="275"/>
        <v>759.29918610061679</v>
      </c>
      <c r="K626" s="360">
        <f t="shared" ca="1" si="276"/>
        <v>2354.7596800034285</v>
      </c>
      <c r="L626" s="357">
        <f t="shared" ca="1" si="261"/>
        <v>2474.1520576922726</v>
      </c>
      <c r="M626" s="359">
        <f t="shared" ca="1" si="277"/>
        <v>0.91970291219784683</v>
      </c>
      <c r="N626" s="357">
        <f t="shared" ca="1" si="278"/>
        <v>52.695095274827544</v>
      </c>
      <c r="O626" s="343"/>
      <c r="P626" s="363">
        <f t="shared" ca="1" si="279"/>
        <v>23</v>
      </c>
      <c r="Q626" s="357">
        <f t="shared" ca="1" si="280"/>
        <v>0</v>
      </c>
      <c r="R626" s="359">
        <f t="shared" ca="1" si="281"/>
        <v>0</v>
      </c>
      <c r="S626" s="360">
        <f t="shared" ca="1" si="282"/>
        <v>10.637999999999975</v>
      </c>
      <c r="T626" s="357">
        <f t="shared" ca="1" si="262"/>
        <v>104.35877999999975</v>
      </c>
      <c r="U626" s="364">
        <f t="shared" ca="1" si="263"/>
        <v>0</v>
      </c>
      <c r="V626" s="359">
        <f t="shared" ca="1" si="264"/>
        <v>0.96692694090247922</v>
      </c>
      <c r="W626" s="357">
        <f t="shared" ca="1" si="265"/>
        <v>9.8965267432165813</v>
      </c>
      <c r="X626" s="343"/>
      <c r="Y626" s="367" t="str">
        <f t="shared" ca="1" si="283"/>
        <v/>
      </c>
      <c r="Z626" s="368" t="str">
        <f t="shared" ca="1" si="284"/>
        <v/>
      </c>
      <c r="AA626" s="369" t="str">
        <f t="shared" ca="1" si="285"/>
        <v/>
      </c>
      <c r="AB626" s="344"/>
      <c r="AC626" s="363" t="e">
        <f t="shared" ca="1" si="286"/>
        <v>#N/A</v>
      </c>
      <c r="AD626" s="376" t="e">
        <f t="shared" ca="1" si="287"/>
        <v>#N/A</v>
      </c>
      <c r="AE626" s="377">
        <f t="shared" ca="1" si="266"/>
        <v>2354.7596800034285</v>
      </c>
      <c r="AF626" s="344"/>
      <c r="AG626" s="359">
        <f t="shared" ca="1" si="288"/>
        <v>-8.8103673437187222</v>
      </c>
      <c r="AH626" s="357">
        <f t="shared" ca="1" si="289"/>
        <v>-0.95539406285082074</v>
      </c>
    </row>
    <row r="627" spans="1:34" x14ac:dyDescent="0.25">
      <c r="A627" s="402">
        <f t="shared" ca="1" si="267"/>
        <v>0.1</v>
      </c>
      <c r="B627" s="357">
        <f t="shared" ca="1" si="268"/>
        <v>17.299999999999915</v>
      </c>
      <c r="C627" s="342"/>
      <c r="D627" s="359">
        <f t="shared" ca="1" si="269"/>
        <v>-0.56381409054743858</v>
      </c>
      <c r="E627" s="360">
        <f t="shared" ca="1" si="270"/>
        <v>-10.549980369214548</v>
      </c>
      <c r="F627" s="357">
        <f t="shared" ca="1" si="271"/>
        <v>10.565035358176146</v>
      </c>
      <c r="G627" s="359">
        <f t="shared" ca="1" si="272"/>
        <v>40.518532613227379</v>
      </c>
      <c r="H627" s="360">
        <f t="shared" ca="1" si="273"/>
        <v>52.197732539400754</v>
      </c>
      <c r="I627" s="357">
        <f t="shared" ca="1" si="274"/>
        <v>66.078398644216463</v>
      </c>
      <c r="J627" s="359">
        <f t="shared" ca="1" si="275"/>
        <v>763.35385843239226</v>
      </c>
      <c r="K627" s="360">
        <f t="shared" ca="1" si="276"/>
        <v>2360.0322031592145</v>
      </c>
      <c r="L627" s="357">
        <f t="shared" ca="1" si="261"/>
        <v>2480.4155121939057</v>
      </c>
      <c r="M627" s="359">
        <f t="shared" ca="1" si="277"/>
        <v>0.9107052752327317</v>
      </c>
      <c r="N627" s="357">
        <f t="shared" ca="1" si="278"/>
        <v>52.179568651135547</v>
      </c>
      <c r="O627" s="343"/>
      <c r="P627" s="363">
        <f t="shared" ca="1" si="279"/>
        <v>23</v>
      </c>
      <c r="Q627" s="357">
        <f t="shared" ca="1" si="280"/>
        <v>0</v>
      </c>
      <c r="R627" s="359">
        <f t="shared" ca="1" si="281"/>
        <v>0</v>
      </c>
      <c r="S627" s="360">
        <f t="shared" ca="1" si="282"/>
        <v>10.637999999999975</v>
      </c>
      <c r="T627" s="357">
        <f t="shared" ca="1" si="262"/>
        <v>104.35877999999975</v>
      </c>
      <c r="U627" s="364">
        <f t="shared" ca="1" si="263"/>
        <v>0</v>
      </c>
      <c r="V627" s="359">
        <f t="shared" ca="1" si="264"/>
        <v>0.96641008182791732</v>
      </c>
      <c r="W627" s="357">
        <f t="shared" ca="1" si="265"/>
        <v>9.6356410688329301</v>
      </c>
      <c r="X627" s="343"/>
      <c r="Y627" s="367" t="str">
        <f t="shared" ca="1" si="283"/>
        <v/>
      </c>
      <c r="Z627" s="368" t="str">
        <f t="shared" ca="1" si="284"/>
        <v/>
      </c>
      <c r="AA627" s="369" t="str">
        <f t="shared" ca="1" si="285"/>
        <v/>
      </c>
      <c r="AB627" s="344"/>
      <c r="AC627" s="363" t="e">
        <f t="shared" ca="1" si="286"/>
        <v>#N/A</v>
      </c>
      <c r="AD627" s="376" t="e">
        <f t="shared" ca="1" si="287"/>
        <v>#N/A</v>
      </c>
      <c r="AE627" s="377">
        <f t="shared" ca="1" si="266"/>
        <v>2360.0322031592145</v>
      </c>
      <c r="AF627" s="344"/>
      <c r="AG627" s="359">
        <f t="shared" ca="1" si="288"/>
        <v>-8.7333854891497857</v>
      </c>
      <c r="AH627" s="357">
        <f t="shared" ca="1" si="289"/>
        <v>-0.9302995622501038</v>
      </c>
    </row>
    <row r="628" spans="1:34" x14ac:dyDescent="0.25">
      <c r="A628" s="402">
        <f t="shared" ca="1" si="267"/>
        <v>0.1</v>
      </c>
      <c r="B628" s="357">
        <f t="shared" ca="1" si="268"/>
        <v>17.399999999999917</v>
      </c>
      <c r="C628" s="342"/>
      <c r="D628" s="359">
        <f t="shared" ca="1" si="269"/>
        <v>-0.55541144823266153</v>
      </c>
      <c r="E628" s="360">
        <f t="shared" ca="1" si="270"/>
        <v>-10.525505136893962</v>
      </c>
      <c r="F628" s="357">
        <f t="shared" ca="1" si="271"/>
        <v>10.540148967809188</v>
      </c>
      <c r="G628" s="359">
        <f t="shared" ca="1" si="272"/>
        <v>40.462991468404113</v>
      </c>
      <c r="H628" s="360">
        <f t="shared" ca="1" si="273"/>
        <v>51.145182025711357</v>
      </c>
      <c r="I628" s="357">
        <f t="shared" ca="1" si="274"/>
        <v>65.215667772516838</v>
      </c>
      <c r="J628" s="359">
        <f t="shared" ca="1" si="275"/>
        <v>767.40293463647379</v>
      </c>
      <c r="K628" s="360">
        <f t="shared" ca="1" si="276"/>
        <v>2365.19934888747</v>
      </c>
      <c r="L628" s="357">
        <f t="shared" ca="1" si="261"/>
        <v>2486.5790202739154</v>
      </c>
      <c r="M628" s="359">
        <f t="shared" ca="1" si="277"/>
        <v>0.9014813150520592</v>
      </c>
      <c r="N628" s="357">
        <f t="shared" ca="1" si="278"/>
        <v>51.651074662386286</v>
      </c>
      <c r="O628" s="343"/>
      <c r="P628" s="363">
        <f t="shared" ca="1" si="279"/>
        <v>23</v>
      </c>
      <c r="Q628" s="357">
        <f t="shared" ca="1" si="280"/>
        <v>0</v>
      </c>
      <c r="R628" s="359">
        <f t="shared" ca="1" si="281"/>
        <v>0</v>
      </c>
      <c r="S628" s="360">
        <f t="shared" ca="1" si="282"/>
        <v>10.637999999999975</v>
      </c>
      <c r="T628" s="357">
        <f t="shared" ca="1" si="262"/>
        <v>104.35877999999975</v>
      </c>
      <c r="U628" s="364">
        <f t="shared" ca="1" si="263"/>
        <v>0</v>
      </c>
      <c r="V628" s="359">
        <f t="shared" ca="1" si="264"/>
        <v>0.96590378921381936</v>
      </c>
      <c r="W628" s="357">
        <f t="shared" ca="1" si="265"/>
        <v>9.3807573787120777</v>
      </c>
      <c r="X628" s="343"/>
      <c r="Y628" s="367" t="str">
        <f t="shared" ca="1" si="283"/>
        <v/>
      </c>
      <c r="Z628" s="368" t="str">
        <f t="shared" ca="1" si="284"/>
        <v/>
      </c>
      <c r="AA628" s="369" t="str">
        <f t="shared" ca="1" si="285"/>
        <v/>
      </c>
      <c r="AB628" s="344"/>
      <c r="AC628" s="363" t="e">
        <f t="shared" ca="1" si="286"/>
        <v>#N/A</v>
      </c>
      <c r="AD628" s="376" t="e">
        <f t="shared" ca="1" si="287"/>
        <v>#N/A</v>
      </c>
      <c r="AE628" s="377">
        <f t="shared" ca="1" si="266"/>
        <v>2365.19934888747</v>
      </c>
      <c r="AF628" s="344"/>
      <c r="AG628" s="359">
        <f t="shared" ca="1" si="288"/>
        <v>-8.6550517353784517</v>
      </c>
      <c r="AH628" s="357">
        <f t="shared" ca="1" si="289"/>
        <v>-0.90577562218771879</v>
      </c>
    </row>
    <row r="629" spans="1:34" x14ac:dyDescent="0.25">
      <c r="A629" s="402">
        <f t="shared" ca="1" si="267"/>
        <v>0.1</v>
      </c>
      <c r="B629" s="357">
        <f t="shared" ca="1" si="268"/>
        <v>17.499999999999918</v>
      </c>
      <c r="C629" s="342"/>
      <c r="D629" s="359">
        <f t="shared" ca="1" si="269"/>
        <v>-0.54712172439006079</v>
      </c>
      <c r="E629" s="360">
        <f t="shared" ca="1" si="270"/>
        <v>-10.501561329715358</v>
      </c>
      <c r="F629" s="357">
        <f t="shared" ca="1" si="271"/>
        <v>10.515803941833099</v>
      </c>
      <c r="G629" s="359">
        <f t="shared" ca="1" si="272"/>
        <v>40.408279295965109</v>
      </c>
      <c r="H629" s="360">
        <f t="shared" ca="1" si="273"/>
        <v>50.09502589273982</v>
      </c>
      <c r="I629" s="357">
        <f t="shared" ca="1" si="274"/>
        <v>64.361018130969583</v>
      </c>
      <c r="J629" s="359">
        <f t="shared" ca="1" si="275"/>
        <v>771.44649817469224</v>
      </c>
      <c r="K629" s="360">
        <f t="shared" ca="1" si="276"/>
        <v>2370.2613592833927</v>
      </c>
      <c r="L629" s="357">
        <f t="shared" ca="1" si="261"/>
        <v>2492.6428967780266</v>
      </c>
      <c r="M629" s="359">
        <f t="shared" ca="1" si="277"/>
        <v>0.89202420120275672</v>
      </c>
      <c r="N629" s="357">
        <f t="shared" ca="1" si="278"/>
        <v>51.109221952446532</v>
      </c>
      <c r="O629" s="343"/>
      <c r="P629" s="363">
        <f t="shared" ca="1" si="279"/>
        <v>23</v>
      </c>
      <c r="Q629" s="357">
        <f t="shared" ca="1" si="280"/>
        <v>0</v>
      </c>
      <c r="R629" s="359">
        <f t="shared" ca="1" si="281"/>
        <v>0</v>
      </c>
      <c r="S629" s="360">
        <f t="shared" ca="1" si="282"/>
        <v>10.637999999999975</v>
      </c>
      <c r="T629" s="357">
        <f t="shared" ca="1" si="262"/>
        <v>104.35877999999975</v>
      </c>
      <c r="U629" s="364">
        <f t="shared" ca="1" si="263"/>
        <v>0</v>
      </c>
      <c r="V629" s="359">
        <f t="shared" ca="1" si="264"/>
        <v>0.96540802487833188</v>
      </c>
      <c r="W629" s="357">
        <f t="shared" ca="1" si="265"/>
        <v>9.1318098242733896</v>
      </c>
      <c r="X629" s="343"/>
      <c r="Y629" s="367" t="str">
        <f t="shared" ca="1" si="283"/>
        <v/>
      </c>
      <c r="Z629" s="368" t="str">
        <f t="shared" ca="1" si="284"/>
        <v/>
      </c>
      <c r="AA629" s="369" t="str">
        <f t="shared" ca="1" si="285"/>
        <v/>
      </c>
      <c r="AB629" s="344"/>
      <c r="AC629" s="363" t="e">
        <f t="shared" ca="1" si="286"/>
        <v>#N/A</v>
      </c>
      <c r="AD629" s="376" t="e">
        <f t="shared" ca="1" si="287"/>
        <v>#N/A</v>
      </c>
      <c r="AE629" s="377">
        <f t="shared" ca="1" si="266"/>
        <v>2370.2613592833927</v>
      </c>
      <c r="AF629" s="344"/>
      <c r="AG629" s="359">
        <f t="shared" ca="1" si="288"/>
        <v>-8.5752774836158707</v>
      </c>
      <c r="AH629" s="357">
        <f t="shared" ca="1" si="289"/>
        <v>-0.88181588444370185</v>
      </c>
    </row>
    <row r="630" spans="1:34" x14ac:dyDescent="0.25">
      <c r="A630" s="402">
        <f t="shared" ca="1" si="267"/>
        <v>0.1</v>
      </c>
      <c r="B630" s="357">
        <f t="shared" ca="1" si="268"/>
        <v>17.59999999999992</v>
      </c>
      <c r="C630" s="342"/>
      <c r="D630" s="359">
        <f t="shared" ca="1" si="269"/>
        <v>-0.53894484734619519</v>
      </c>
      <c r="E630" s="360">
        <f t="shared" ca="1" si="270"/>
        <v>-10.478141691578099</v>
      </c>
      <c r="F630" s="357">
        <f t="shared" ca="1" si="271"/>
        <v>10.491992892547543</v>
      </c>
      <c r="G630" s="359">
        <f t="shared" ca="1" si="272"/>
        <v>40.354384811230489</v>
      </c>
      <c r="H630" s="360">
        <f t="shared" ca="1" si="273"/>
        <v>49.047211723582009</v>
      </c>
      <c r="I630" s="357">
        <f t="shared" ca="1" si="274"/>
        <v>63.5146073856302</v>
      </c>
      <c r="J630" s="359">
        <f t="shared" ca="1" si="275"/>
        <v>775.48463138005206</v>
      </c>
      <c r="K630" s="360">
        <f t="shared" ca="1" si="276"/>
        <v>2375.2184711642089</v>
      </c>
      <c r="L630" s="357">
        <f t="shared" ca="1" si="261"/>
        <v>2498.6074520152815</v>
      </c>
      <c r="M630" s="359">
        <f t="shared" ca="1" si="277"/>
        <v>0.88232692762849796</v>
      </c>
      <c r="N630" s="357">
        <f t="shared" ca="1" si="278"/>
        <v>50.55360910385776</v>
      </c>
      <c r="O630" s="343"/>
      <c r="P630" s="363">
        <f t="shared" ca="1" si="279"/>
        <v>23</v>
      </c>
      <c r="Q630" s="357">
        <f t="shared" ca="1" si="280"/>
        <v>0</v>
      </c>
      <c r="R630" s="359">
        <f t="shared" ca="1" si="281"/>
        <v>0</v>
      </c>
      <c r="S630" s="360">
        <f t="shared" ca="1" si="282"/>
        <v>10.637999999999975</v>
      </c>
      <c r="T630" s="357">
        <f t="shared" ca="1" si="262"/>
        <v>104.35877999999975</v>
      </c>
      <c r="U630" s="364">
        <f t="shared" ca="1" si="263"/>
        <v>0</v>
      </c>
      <c r="V630" s="359">
        <f t="shared" ca="1" si="264"/>
        <v>0.96492275150958462</v>
      </c>
      <c r="W630" s="357">
        <f t="shared" ca="1" si="265"/>
        <v>8.8887343081775576</v>
      </c>
      <c r="X630" s="343"/>
      <c r="Y630" s="367" t="str">
        <f t="shared" ca="1" si="283"/>
        <v/>
      </c>
      <c r="Z630" s="368" t="str">
        <f t="shared" ca="1" si="284"/>
        <v/>
      </c>
      <c r="AA630" s="369" t="str">
        <f t="shared" ca="1" si="285"/>
        <v/>
      </c>
      <c r="AB630" s="344"/>
      <c r="AC630" s="363" t="e">
        <f t="shared" ca="1" si="286"/>
        <v>#N/A</v>
      </c>
      <c r="AD630" s="376" t="e">
        <f t="shared" ca="1" si="287"/>
        <v>#N/A</v>
      </c>
      <c r="AE630" s="377">
        <f t="shared" ca="1" si="266"/>
        <v>2375.2184711642089</v>
      </c>
      <c r="AF630" s="344"/>
      <c r="AG630" s="359">
        <f t="shared" ca="1" si="288"/>
        <v>-8.4939708714929907</v>
      </c>
      <c r="AH630" s="357">
        <f t="shared" ca="1" si="289"/>
        <v>-0.85841415907815488</v>
      </c>
    </row>
    <row r="631" spans="1:34" x14ac:dyDescent="0.25">
      <c r="A631" s="402">
        <f t="shared" ca="1" si="267"/>
        <v>0.1</v>
      </c>
      <c r="B631" s="357">
        <f t="shared" ca="1" si="268"/>
        <v>17.699999999999921</v>
      </c>
      <c r="C631" s="342"/>
      <c r="D631" s="359">
        <f t="shared" ca="1" si="269"/>
        <v>-0.53088084077575481</v>
      </c>
      <c r="E631" s="360">
        <f t="shared" ca="1" si="270"/>
        <v>-10.455239051947469</v>
      </c>
      <c r="F631" s="357">
        <f t="shared" ca="1" si="271"/>
        <v>10.468708521134314</v>
      </c>
      <c r="G631" s="359">
        <f t="shared" ca="1" si="272"/>
        <v>40.301296727152916</v>
      </c>
      <c r="H631" s="360">
        <f t="shared" ca="1" si="273"/>
        <v>48.001687818387261</v>
      </c>
      <c r="I631" s="357">
        <f t="shared" ca="1" si="274"/>
        <v>62.676602901752219</v>
      </c>
      <c r="J631" s="359">
        <f t="shared" ca="1" si="275"/>
        <v>779.51741545697121</v>
      </c>
      <c r="K631" s="360">
        <f t="shared" ca="1" si="276"/>
        <v>2380.0709161413074</v>
      </c>
      <c r="L631" s="357">
        <f t="shared" ca="1" si="261"/>
        <v>2504.4729918412854</v>
      </c>
      <c r="M631" s="359">
        <f t="shared" ca="1" si="277"/>
        <v>0.87238231594780391</v>
      </c>
      <c r="N631" s="357">
        <f t="shared" ca="1" si="278"/>
        <v>49.983824825657493</v>
      </c>
      <c r="O631" s="343"/>
      <c r="P631" s="363">
        <f t="shared" ca="1" si="279"/>
        <v>23</v>
      </c>
      <c r="Q631" s="357">
        <f t="shared" ca="1" si="280"/>
        <v>0</v>
      </c>
      <c r="R631" s="359">
        <f t="shared" ca="1" si="281"/>
        <v>0</v>
      </c>
      <c r="S631" s="360">
        <f t="shared" ca="1" si="282"/>
        <v>10.637999999999975</v>
      </c>
      <c r="T631" s="357">
        <f t="shared" ca="1" si="262"/>
        <v>104.35877999999975</v>
      </c>
      <c r="U631" s="364">
        <f t="shared" ca="1" si="263"/>
        <v>0</v>
      </c>
      <c r="V631" s="359">
        <f t="shared" ca="1" si="264"/>
        <v>0.96444793265420137</v>
      </c>
      <c r="W631" s="357">
        <f t="shared" ca="1" si="265"/>
        <v>8.6514684464870921</v>
      </c>
      <c r="X631" s="343"/>
      <c r="Y631" s="367" t="str">
        <f t="shared" ca="1" si="283"/>
        <v/>
      </c>
      <c r="Z631" s="368" t="str">
        <f t="shared" ca="1" si="284"/>
        <v/>
      </c>
      <c r="AA631" s="369" t="str">
        <f t="shared" ca="1" si="285"/>
        <v/>
      </c>
      <c r="AB631" s="344"/>
      <c r="AC631" s="363" t="e">
        <f t="shared" ca="1" si="286"/>
        <v>#N/A</v>
      </c>
      <c r="AD631" s="376" t="e">
        <f t="shared" ca="1" si="287"/>
        <v>#N/A</v>
      </c>
      <c r="AE631" s="377">
        <f t="shared" ca="1" si="266"/>
        <v>2380.0709161413074</v>
      </c>
      <c r="AF631" s="344"/>
      <c r="AG631" s="359">
        <f t="shared" ca="1" si="288"/>
        <v>-8.4110366910647016</v>
      </c>
      <c r="AH631" s="357">
        <f t="shared" ca="1" si="289"/>
        <v>-0.83556442077247406</v>
      </c>
    </row>
    <row r="632" spans="1:34" x14ac:dyDescent="0.25">
      <c r="A632" s="402">
        <f t="shared" ca="1" si="267"/>
        <v>0.1</v>
      </c>
      <c r="B632" s="357">
        <f t="shared" ca="1" si="268"/>
        <v>17.799999999999923</v>
      </c>
      <c r="C632" s="342"/>
      <c r="D632" s="359">
        <f t="shared" ca="1" si="269"/>
        <v>-0.52292982568344448</v>
      </c>
      <c r="E632" s="360">
        <f t="shared" ca="1" si="270"/>
        <v>-10.432846317162502</v>
      </c>
      <c r="F632" s="357">
        <f t="shared" ca="1" si="271"/>
        <v>10.445943608890511</v>
      </c>
      <c r="G632" s="359">
        <f t="shared" ca="1" si="272"/>
        <v>40.24900374458457</v>
      </c>
      <c r="H632" s="360">
        <f t="shared" ca="1" si="273"/>
        <v>46.958403186671013</v>
      </c>
      <c r="I632" s="357">
        <f t="shared" ca="1" si="274"/>
        <v>61.847182088382468</v>
      </c>
      <c r="J632" s="359">
        <f t="shared" ca="1" si="275"/>
        <v>783.54493048055804</v>
      </c>
      <c r="K632" s="360">
        <f t="shared" ca="1" si="276"/>
        <v>2384.8189206915604</v>
      </c>
      <c r="L632" s="357">
        <f t="shared" ca="1" si="261"/>
        <v>2510.2398177405762</v>
      </c>
      <c r="M632" s="359">
        <f t="shared" ca="1" si="277"/>
        <v>0.86218302006717373</v>
      </c>
      <c r="N632" s="357">
        <f t="shared" ca="1" si="278"/>
        <v>49.399448217692218</v>
      </c>
      <c r="O632" s="343"/>
      <c r="P632" s="363">
        <f t="shared" ca="1" si="279"/>
        <v>23</v>
      </c>
      <c r="Q632" s="357">
        <f t="shared" ca="1" si="280"/>
        <v>0</v>
      </c>
      <c r="R632" s="359">
        <f t="shared" ca="1" si="281"/>
        <v>0</v>
      </c>
      <c r="S632" s="360">
        <f t="shared" ca="1" si="282"/>
        <v>10.637999999999975</v>
      </c>
      <c r="T632" s="357">
        <f t="shared" ca="1" si="262"/>
        <v>104.35877999999975</v>
      </c>
      <c r="U632" s="364">
        <f t="shared" ca="1" si="263"/>
        <v>0</v>
      </c>
      <c r="V632" s="359">
        <f t="shared" ca="1" si="264"/>
        <v>0.96398353270602155</v>
      </c>
      <c r="W632" s="357">
        <f t="shared" ca="1" si="265"/>
        <v>8.4199515318638802</v>
      </c>
      <c r="X632" s="343"/>
      <c r="Y632" s="367" t="str">
        <f t="shared" ca="1" si="283"/>
        <v/>
      </c>
      <c r="Z632" s="368" t="str">
        <f t="shared" ca="1" si="284"/>
        <v/>
      </c>
      <c r="AA632" s="369" t="str">
        <f t="shared" ca="1" si="285"/>
        <v/>
      </c>
      <c r="AB632" s="344"/>
      <c r="AC632" s="363" t="e">
        <f t="shared" ca="1" si="286"/>
        <v>#N/A</v>
      </c>
      <c r="AD632" s="376" t="e">
        <f t="shared" ca="1" si="287"/>
        <v>#N/A</v>
      </c>
      <c r="AE632" s="377">
        <f t="shared" ca="1" si="266"/>
        <v>2384.8189206915604</v>
      </c>
      <c r="AF632" s="344"/>
      <c r="AG632" s="359">
        <f t="shared" ca="1" si="288"/>
        <v>-8.3263763172365994</v>
      </c>
      <c r="AH632" s="357">
        <f t="shared" ca="1" si="289"/>
        <v>-0.81326080527233624</v>
      </c>
    </row>
    <row r="633" spans="1:34" x14ac:dyDescent="0.25">
      <c r="A633" s="402">
        <f t="shared" ca="1" si="267"/>
        <v>0.1</v>
      </c>
      <c r="B633" s="357">
        <f t="shared" ca="1" si="268"/>
        <v>17.899999999999924</v>
      </c>
      <c r="C633" s="342"/>
      <c r="D633" s="359">
        <f t="shared" ca="1" si="269"/>
        <v>-0.51509202245152652</v>
      </c>
      <c r="E633" s="360">
        <f t="shared" ca="1" si="270"/>
        <v>-10.410956461481883</v>
      </c>
      <c r="F633" s="357">
        <f t="shared" ca="1" si="271"/>
        <v>10.423691008201681</v>
      </c>
      <c r="G633" s="359">
        <f t="shared" ca="1" si="272"/>
        <v>40.19749454233942</v>
      </c>
      <c r="H633" s="360">
        <f t="shared" ca="1" si="273"/>
        <v>45.917307540522827</v>
      </c>
      <c r="I633" s="357">
        <f t="shared" ca="1" si="274"/>
        <v>61.026532748079028</v>
      </c>
      <c r="J633" s="359">
        <f t="shared" ca="1" si="275"/>
        <v>787.56725539490424</v>
      </c>
      <c r="K633" s="360">
        <f t="shared" ca="1" si="276"/>
        <v>2389.4627062279201</v>
      </c>
      <c r="L633" s="357">
        <f t="shared" ca="1" si="261"/>
        <v>2515.908226908191</v>
      </c>
      <c r="M633" s="359">
        <f t="shared" ca="1" si="277"/>
        <v>0.85172153230622138</v>
      </c>
      <c r="N633" s="357">
        <f t="shared" ca="1" si="278"/>
        <v>48.800049121561884</v>
      </c>
      <c r="O633" s="343"/>
      <c r="P633" s="363">
        <f t="shared" ca="1" si="279"/>
        <v>23</v>
      </c>
      <c r="Q633" s="357">
        <f t="shared" ca="1" si="280"/>
        <v>0</v>
      </c>
      <c r="R633" s="359">
        <f t="shared" ca="1" si="281"/>
        <v>0</v>
      </c>
      <c r="S633" s="360">
        <f t="shared" ca="1" si="282"/>
        <v>10.637999999999975</v>
      </c>
      <c r="T633" s="357">
        <f t="shared" ca="1" si="262"/>
        <v>104.35877999999975</v>
      </c>
      <c r="U633" s="364">
        <f t="shared" ca="1" si="263"/>
        <v>0</v>
      </c>
      <c r="V633" s="359">
        <f t="shared" ca="1" si="264"/>
        <v>0.96352951689501742</v>
      </c>
      <c r="W633" s="357">
        <f t="shared" ca="1" si="265"/>
        <v>8.1941244977593861</v>
      </c>
      <c r="X633" s="343"/>
      <c r="Y633" s="367" t="str">
        <f t="shared" ca="1" si="283"/>
        <v/>
      </c>
      <c r="Z633" s="368" t="str">
        <f t="shared" ca="1" si="284"/>
        <v/>
      </c>
      <c r="AA633" s="369" t="str">
        <f t="shared" ca="1" si="285"/>
        <v/>
      </c>
      <c r="AB633" s="344"/>
      <c r="AC633" s="363" t="e">
        <f t="shared" ca="1" si="286"/>
        <v>#N/A</v>
      </c>
      <c r="AD633" s="376" t="e">
        <f t="shared" ca="1" si="287"/>
        <v>#N/A</v>
      </c>
      <c r="AE633" s="377">
        <f t="shared" ca="1" si="266"/>
        <v>2389.4627062279201</v>
      </c>
      <c r="AF633" s="344"/>
      <c r="AG633" s="359">
        <f t="shared" ca="1" si="288"/>
        <v>-8.239887649033701</v>
      </c>
      <c r="AH633" s="357">
        <f t="shared" ca="1" si="289"/>
        <v>-0.79149760592817264</v>
      </c>
    </row>
    <row r="634" spans="1:34" x14ac:dyDescent="0.25">
      <c r="A634" s="402">
        <f t="shared" ca="1" si="267"/>
        <v>0.1</v>
      </c>
      <c r="B634" s="357">
        <f t="shared" ca="1" si="268"/>
        <v>17.999999999999925</v>
      </c>
      <c r="C634" s="342"/>
      <c r="D634" s="359">
        <f t="shared" ca="1" si="269"/>
        <v>-0.50736775294110914</v>
      </c>
      <c r="E634" s="360">
        <f t="shared" ca="1" si="270"/>
        <v>-10.389562517843061</v>
      </c>
      <c r="F634" s="357">
        <f t="shared" ca="1" si="271"/>
        <v>10.40194363322999</v>
      </c>
      <c r="G634" s="359">
        <f t="shared" ca="1" si="272"/>
        <v>40.146757767045308</v>
      </c>
      <c r="H634" s="360">
        <f t="shared" ca="1" si="273"/>
        <v>44.878351288738521</v>
      </c>
      <c r="I634" s="357">
        <f t="shared" ca="1" si="274"/>
        <v>60.214853430040257</v>
      </c>
      <c r="J634" s="359">
        <f t="shared" ca="1" si="275"/>
        <v>791.58446801037348</v>
      </c>
      <c r="K634" s="360">
        <f t="shared" ca="1" si="276"/>
        <v>2394.0024891693834</v>
      </c>
      <c r="L634" s="357">
        <f t="shared" ca="1" si="261"/>
        <v>2521.4785123305073</v>
      </c>
      <c r="M634" s="359">
        <f t="shared" ca="1" si="277"/>
        <v>0.84099019122791741</v>
      </c>
      <c r="N634" s="357">
        <f t="shared" ca="1" si="278"/>
        <v>48.185188569259694</v>
      </c>
      <c r="O634" s="343"/>
      <c r="P634" s="363">
        <f t="shared" ca="1" si="279"/>
        <v>23</v>
      </c>
      <c r="Q634" s="357">
        <f t="shared" ca="1" si="280"/>
        <v>0</v>
      </c>
      <c r="R634" s="359">
        <f t="shared" ca="1" si="281"/>
        <v>0</v>
      </c>
      <c r="S634" s="360">
        <f t="shared" ca="1" si="282"/>
        <v>10.637999999999975</v>
      </c>
      <c r="T634" s="357">
        <f t="shared" ca="1" si="262"/>
        <v>104.35877999999975</v>
      </c>
      <c r="U634" s="364">
        <f t="shared" ca="1" si="263"/>
        <v>0</v>
      </c>
      <c r="V634" s="359">
        <f t="shared" ca="1" si="264"/>
        <v>0.96308585127639967</v>
      </c>
      <c r="W634" s="357">
        <f t="shared" ca="1" si="265"/>
        <v>7.9739298835536401</v>
      </c>
      <c r="X634" s="343"/>
      <c r="Y634" s="367" t="str">
        <f t="shared" ca="1" si="283"/>
        <v/>
      </c>
      <c r="Z634" s="368" t="str">
        <f t="shared" ca="1" si="284"/>
        <v/>
      </c>
      <c r="AA634" s="369" t="str">
        <f t="shared" ca="1" si="285"/>
        <v/>
      </c>
      <c r="AB634" s="344"/>
      <c r="AC634" s="363">
        <f t="shared" ca="1" si="286"/>
        <v>17.999999999999925</v>
      </c>
      <c r="AD634" s="376">
        <f t="shared" ca="1" si="287"/>
        <v>791.58446801037348</v>
      </c>
      <c r="AE634" s="377">
        <f t="shared" ca="1" si="266"/>
        <v>2394.0024891693834</v>
      </c>
      <c r="AF634" s="344"/>
      <c r="AG634" s="359">
        <f t="shared" ca="1" si="288"/>
        <v>-8.1514650664592523</v>
      </c>
      <c r="AH634" s="357">
        <f t="shared" ca="1" si="289"/>
        <v>-0.77026927032895331</v>
      </c>
    </row>
    <row r="635" spans="1:34" x14ac:dyDescent="0.25">
      <c r="A635" s="402">
        <f t="shared" ca="1" si="267"/>
        <v>0.1</v>
      </c>
      <c r="B635" s="357">
        <f t="shared" ca="1" si="268"/>
        <v>18.099999999999927</v>
      </c>
      <c r="C635" s="342"/>
      <c r="D635" s="359">
        <f t="shared" ca="1" si="269"/>
        <v>-0.4997574426329876</v>
      </c>
      <c r="E635" s="360">
        <f t="shared" ca="1" si="270"/>
        <v>-10.36865756830942</v>
      </c>
      <c r="F635" s="357">
        <f t="shared" ca="1" si="271"/>
        <v>10.3806944502922</v>
      </c>
      <c r="G635" s="359">
        <f t="shared" ca="1" si="272"/>
        <v>40.096782022782008</v>
      </c>
      <c r="H635" s="360">
        <f t="shared" ca="1" si="273"/>
        <v>43.84148553190758</v>
      </c>
      <c r="I635" s="357">
        <f t="shared" ca="1" si="274"/>
        <v>59.412353784604058</v>
      </c>
      <c r="J635" s="359">
        <f t="shared" ca="1" si="275"/>
        <v>795.59664499986479</v>
      </c>
      <c r="K635" s="360">
        <f t="shared" ca="1" si="276"/>
        <v>2398.4384810104157</v>
      </c>
      <c r="L635" s="357">
        <f t="shared" ca="1" si="261"/>
        <v>2526.9509628654432</v>
      </c>
      <c r="M635" s="359">
        <f t="shared" ca="1" si="277"/>
        <v>0.82998119138364113</v>
      </c>
      <c r="N635" s="357">
        <f t="shared" ca="1" si="278"/>
        <v>47.554419341522483</v>
      </c>
      <c r="O635" s="343"/>
      <c r="P635" s="363">
        <f t="shared" ca="1" si="279"/>
        <v>23</v>
      </c>
      <c r="Q635" s="357">
        <f t="shared" ca="1" si="280"/>
        <v>0</v>
      </c>
      <c r="R635" s="359">
        <f t="shared" ca="1" si="281"/>
        <v>0</v>
      </c>
      <c r="S635" s="360">
        <f t="shared" ca="1" si="282"/>
        <v>10.637999999999975</v>
      </c>
      <c r="T635" s="357">
        <f t="shared" ca="1" si="262"/>
        <v>104.35877999999975</v>
      </c>
      <c r="U635" s="364">
        <f t="shared" ca="1" si="263"/>
        <v>0</v>
      </c>
      <c r="V635" s="359">
        <f t="shared" ca="1" si="264"/>
        <v>0.96265250271989322</v>
      </c>
      <c r="W635" s="357">
        <f t="shared" ca="1" si="265"/>
        <v>7.759311800599793</v>
      </c>
      <c r="X635" s="343"/>
      <c r="Y635" s="367" t="str">
        <f t="shared" ca="1" si="283"/>
        <v/>
      </c>
      <c r="Z635" s="368" t="str">
        <f t="shared" ca="1" si="284"/>
        <v/>
      </c>
      <c r="AA635" s="369" t="str">
        <f t="shared" ca="1" si="285"/>
        <v/>
      </c>
      <c r="AB635" s="344"/>
      <c r="AC635" s="363" t="e">
        <f t="shared" ca="1" si="286"/>
        <v>#N/A</v>
      </c>
      <c r="AD635" s="376" t="e">
        <f t="shared" ca="1" si="287"/>
        <v>#N/A</v>
      </c>
      <c r="AE635" s="377">
        <f t="shared" ca="1" si="266"/>
        <v>2398.4384810104157</v>
      </c>
      <c r="AF635" s="344"/>
      <c r="AG635" s="359">
        <f t="shared" ca="1" si="288"/>
        <v>-8.0609994060491648</v>
      </c>
      <c r="AH635" s="357">
        <f t="shared" ca="1" si="289"/>
        <v>-0.7495703970251606</v>
      </c>
    </row>
    <row r="636" spans="1:34" x14ac:dyDescent="0.25">
      <c r="A636" s="402">
        <f t="shared" ca="1" si="267"/>
        <v>0.1</v>
      </c>
      <c r="B636" s="357">
        <f t="shared" ca="1" si="268"/>
        <v>18.199999999999928</v>
      </c>
      <c r="C636" s="342"/>
      <c r="D636" s="359">
        <f t="shared" ca="1" si="269"/>
        <v>-0.49226162279129343</v>
      </c>
      <c r="E636" s="360">
        <f t="shared" ca="1" si="270"/>
        <v>-10.348234734180309</v>
      </c>
      <c r="F636" s="357">
        <f t="shared" ca="1" si="271"/>
        <v>10.359936467902152</v>
      </c>
      <c r="G636" s="359">
        <f t="shared" ca="1" si="272"/>
        <v>40.047555860502882</v>
      </c>
      <c r="H636" s="360">
        <f t="shared" ca="1" si="273"/>
        <v>42.80666205848955</v>
      </c>
      <c r="I636" s="357">
        <f t="shared" ca="1" si="274"/>
        <v>58.619254916706574</v>
      </c>
      <c r="J636" s="359">
        <f t="shared" ca="1" si="275"/>
        <v>799.60386189402902</v>
      </c>
      <c r="K636" s="360">
        <f t="shared" ca="1" si="276"/>
        <v>2402.7708883899354</v>
      </c>
      <c r="L636" s="357">
        <f t="shared" ca="1" si="261"/>
        <v>2532.3258633220971</v>
      </c>
      <c r="M636" s="359">
        <f t="shared" ca="1" si="277"/>
        <v>0.81868659519963816</v>
      </c>
      <c r="N636" s="357">
        <f t="shared" ca="1" si="278"/>
        <v>46.907286648874546</v>
      </c>
      <c r="O636" s="343"/>
      <c r="P636" s="363">
        <f t="shared" ca="1" si="279"/>
        <v>23</v>
      </c>
      <c r="Q636" s="357">
        <f t="shared" ca="1" si="280"/>
        <v>0</v>
      </c>
      <c r="R636" s="359">
        <f t="shared" ca="1" si="281"/>
        <v>0</v>
      </c>
      <c r="S636" s="360">
        <f t="shared" ca="1" si="282"/>
        <v>10.637999999999975</v>
      </c>
      <c r="T636" s="357">
        <f t="shared" ca="1" si="262"/>
        <v>104.35877999999975</v>
      </c>
      <c r="U636" s="364">
        <f t="shared" ca="1" si="263"/>
        <v>0</v>
      </c>
      <c r="V636" s="359">
        <f t="shared" ca="1" si="264"/>
        <v>0.96222943889917989</v>
      </c>
      <c r="W636" s="357">
        <f t="shared" ca="1" si="265"/>
        <v>7.5502158991316115</v>
      </c>
      <c r="X636" s="343"/>
      <c r="Y636" s="367" t="str">
        <f t="shared" ca="1" si="283"/>
        <v/>
      </c>
      <c r="Z636" s="368" t="str">
        <f t="shared" ca="1" si="284"/>
        <v/>
      </c>
      <c r="AA636" s="369" t="str">
        <f t="shared" ca="1" si="285"/>
        <v/>
      </c>
      <c r="AB636" s="344"/>
      <c r="AC636" s="363" t="e">
        <f t="shared" ca="1" si="286"/>
        <v>#N/A</v>
      </c>
      <c r="AD636" s="376" t="e">
        <f t="shared" ca="1" si="287"/>
        <v>#N/A</v>
      </c>
      <c r="AE636" s="377">
        <f t="shared" ca="1" si="266"/>
        <v>2402.7708883899354</v>
      </c>
      <c r="AF636" s="344"/>
      <c r="AG636" s="359">
        <f t="shared" ca="1" si="288"/>
        <v>-7.9683779586136101</v>
      </c>
      <c r="AH636" s="357">
        <f t="shared" ca="1" si="289"/>
        <v>-0.7293957323368877</v>
      </c>
    </row>
    <row r="637" spans="1:34" x14ac:dyDescent="0.25">
      <c r="A637" s="402">
        <f t="shared" ca="1" si="267"/>
        <v>0.1</v>
      </c>
      <c r="B637" s="357">
        <f t="shared" ca="1" si="268"/>
        <v>18.29999999999993</v>
      </c>
      <c r="C637" s="342"/>
      <c r="D637" s="359">
        <f t="shared" ca="1" si="269"/>
        <v>-0.48488093263035054</v>
      </c>
      <c r="E637" s="360">
        <f t="shared" ca="1" si="270"/>
        <v>-10.32828716573896</v>
      </c>
      <c r="F637" s="357">
        <f t="shared" ca="1" si="271"/>
        <v>10.339662726452763</v>
      </c>
      <c r="G637" s="359">
        <f t="shared" ca="1" si="272"/>
        <v>39.99906776723985</v>
      </c>
      <c r="H637" s="360">
        <f t="shared" ca="1" si="273"/>
        <v>41.773833341915655</v>
      </c>
      <c r="I637" s="357">
        <f t="shared" ca="1" si="274"/>
        <v>57.835789735477718</v>
      </c>
      <c r="J637" s="359">
        <f t="shared" ca="1" si="275"/>
        <v>803.60619307541617</v>
      </c>
      <c r="K637" s="360">
        <f t="shared" ca="1" si="276"/>
        <v>2406.9999131599557</v>
      </c>
      <c r="L637" s="357">
        <f t="shared" ca="1" si="261"/>
        <v>2537.6034945399169</v>
      </c>
      <c r="M637" s="359">
        <f t="shared" ca="1" si="277"/>
        <v>0.80709834724833551</v>
      </c>
      <c r="N637" s="357">
        <f t="shared" ca="1" si="278"/>
        <v>46.243328949313785</v>
      </c>
      <c r="O637" s="343"/>
      <c r="P637" s="363">
        <f t="shared" ca="1" si="279"/>
        <v>23</v>
      </c>
      <c r="Q637" s="357">
        <f t="shared" ca="1" si="280"/>
        <v>0</v>
      </c>
      <c r="R637" s="359">
        <f t="shared" ca="1" si="281"/>
        <v>0</v>
      </c>
      <c r="S637" s="360">
        <f t="shared" ca="1" si="282"/>
        <v>10.637999999999975</v>
      </c>
      <c r="T637" s="357">
        <f t="shared" ca="1" si="262"/>
        <v>104.35877999999975</v>
      </c>
      <c r="U637" s="364">
        <f t="shared" ca="1" si="263"/>
        <v>0</v>
      </c>
      <c r="V637" s="359">
        <f t="shared" ca="1" si="264"/>
        <v>0.96181662828148606</v>
      </c>
      <c r="W637" s="357">
        <f t="shared" ca="1" si="265"/>
        <v>7.3465893359915189</v>
      </c>
      <c r="X637" s="343"/>
      <c r="Y637" s="367" t="str">
        <f t="shared" ca="1" si="283"/>
        <v/>
      </c>
      <c r="Z637" s="368" t="str">
        <f t="shared" ca="1" si="284"/>
        <v/>
      </c>
      <c r="AA637" s="369" t="str">
        <f t="shared" ca="1" si="285"/>
        <v/>
      </c>
      <c r="AB637" s="344"/>
      <c r="AC637" s="363" t="e">
        <f t="shared" ca="1" si="286"/>
        <v>#N/A</v>
      </c>
      <c r="AD637" s="376" t="e">
        <f t="shared" ca="1" si="287"/>
        <v>#N/A</v>
      </c>
      <c r="AE637" s="377">
        <f t="shared" ca="1" si="266"/>
        <v>2406.9999131599557</v>
      </c>
      <c r="AF637" s="344"/>
      <c r="AG637" s="359">
        <f t="shared" ca="1" si="288"/>
        <v>-7.8734844930703858</v>
      </c>
      <c r="AH637" s="357">
        <f t="shared" ca="1" si="289"/>
        <v>-0.709740167243056</v>
      </c>
    </row>
    <row r="638" spans="1:34" x14ac:dyDescent="0.25">
      <c r="A638" s="402">
        <f t="shared" ca="1" si="267"/>
        <v>0.1</v>
      </c>
      <c r="B638" s="357">
        <f t="shared" ca="1" si="268"/>
        <v>18.399999999999931</v>
      </c>
      <c r="C638" s="342"/>
      <c r="D638" s="359">
        <f t="shared" ca="1" si="269"/>
        <v>-0.47761612146192645</v>
      </c>
      <c r="E638" s="360">
        <f t="shared" ca="1" si="270"/>
        <v>-10.30880803161377</v>
      </c>
      <c r="F638" s="357">
        <f t="shared" ca="1" si="271"/>
        <v>10.319866287512882</v>
      </c>
      <c r="G638" s="359">
        <f t="shared" ca="1" si="272"/>
        <v>39.951306155093661</v>
      </c>
      <c r="H638" s="360">
        <f t="shared" ca="1" si="273"/>
        <v>40.742952538754281</v>
      </c>
      <c r="I638" s="357">
        <f t="shared" ca="1" si="274"/>
        <v>57.062203296693767</v>
      </c>
      <c r="J638" s="359">
        <f t="shared" ca="1" si="275"/>
        <v>807.60371177153286</v>
      </c>
      <c r="K638" s="360">
        <f t="shared" ca="1" si="276"/>
        <v>2411.1257524539892</v>
      </c>
      <c r="L638" s="357">
        <f t="shared" ca="1" si="261"/>
        <v>2542.7841334674818</v>
      </c>
      <c r="M638" s="359">
        <f t="shared" ca="1" si="277"/>
        <v>0.79520829116444003</v>
      </c>
      <c r="N638" s="357">
        <f t="shared" ca="1" si="278"/>
        <v>45.562078917532723</v>
      </c>
      <c r="O638" s="343"/>
      <c r="P638" s="363">
        <f t="shared" ca="1" si="279"/>
        <v>23</v>
      </c>
      <c r="Q638" s="357">
        <f t="shared" ca="1" si="280"/>
        <v>0</v>
      </c>
      <c r="R638" s="359">
        <f t="shared" ca="1" si="281"/>
        <v>0</v>
      </c>
      <c r="S638" s="360">
        <f t="shared" ca="1" si="282"/>
        <v>10.637999999999975</v>
      </c>
      <c r="T638" s="357">
        <f t="shared" ca="1" si="262"/>
        <v>104.35877999999975</v>
      </c>
      <c r="U638" s="364">
        <f t="shared" ca="1" si="263"/>
        <v>0</v>
      </c>
      <c r="V638" s="359">
        <f t="shared" ca="1" si="264"/>
        <v>0.96141404011730924</v>
      </c>
      <c r="W638" s="357">
        <f t="shared" ca="1" si="265"/>
        <v>7.1483807431373636</v>
      </c>
      <c r="X638" s="343"/>
      <c r="Y638" s="367" t="str">
        <f t="shared" ca="1" si="283"/>
        <v/>
      </c>
      <c r="Z638" s="368" t="str">
        <f t="shared" ca="1" si="284"/>
        <v/>
      </c>
      <c r="AA638" s="369" t="str">
        <f t="shared" ca="1" si="285"/>
        <v/>
      </c>
      <c r="AB638" s="344"/>
      <c r="AC638" s="363" t="e">
        <f t="shared" ca="1" si="286"/>
        <v>#N/A</v>
      </c>
      <c r="AD638" s="376" t="e">
        <f t="shared" ca="1" si="287"/>
        <v>#N/A</v>
      </c>
      <c r="AE638" s="377">
        <f t="shared" ca="1" si="266"/>
        <v>2411.1257524539892</v>
      </c>
      <c r="AF638" s="344"/>
      <c r="AG638" s="359">
        <f t="shared" ca="1" si="288"/>
        <v>-7.7761993107121894</v>
      </c>
      <c r="AH638" s="357">
        <f t="shared" ca="1" si="289"/>
        <v>-0.69059873434776609</v>
      </c>
    </row>
    <row r="639" spans="1:34" x14ac:dyDescent="0.25">
      <c r="A639" s="402">
        <f t="shared" ca="1" si="267"/>
        <v>0.1</v>
      </c>
      <c r="B639" s="357">
        <f t="shared" ca="1" si="268"/>
        <v>18.499999999999932</v>
      </c>
      <c r="C639" s="342"/>
      <c r="D639" s="359">
        <f t="shared" ca="1" si="269"/>
        <v>-0.47046805079654774</v>
      </c>
      <c r="E639" s="360">
        <f t="shared" ca="1" si="270"/>
        <v>-10.289790507729373</v>
      </c>
      <c r="F639" s="357">
        <f t="shared" ca="1" si="271"/>
        <v>10.3005402227154</v>
      </c>
      <c r="G639" s="359">
        <f t="shared" ca="1" si="272"/>
        <v>39.904259350014009</v>
      </c>
      <c r="H639" s="360">
        <f t="shared" ca="1" si="273"/>
        <v>39.713973487981342</v>
      </c>
      <c r="I639" s="357">
        <f t="shared" ca="1" si="274"/>
        <v>56.298753134303652</v>
      </c>
      <c r="J639" s="359">
        <f t="shared" ca="1" si="275"/>
        <v>811.59649004678829</v>
      </c>
      <c r="K639" s="360">
        <f t="shared" ca="1" si="276"/>
        <v>2415.148598755326</v>
      </c>
      <c r="L639" s="357">
        <f t="shared" ca="1" si="261"/>
        <v>2547.8680532409994</v>
      </c>
      <c r="M639" s="359">
        <f t="shared" ca="1" si="277"/>
        <v>0.78300818948133544</v>
      </c>
      <c r="N639" s="357">
        <f t="shared" ca="1" si="278"/>
        <v>44.863064581460378</v>
      </c>
      <c r="O639" s="343"/>
      <c r="P639" s="363">
        <f t="shared" ca="1" si="279"/>
        <v>23</v>
      </c>
      <c r="Q639" s="357">
        <f t="shared" ca="1" si="280"/>
        <v>0</v>
      </c>
      <c r="R639" s="359">
        <f t="shared" ca="1" si="281"/>
        <v>0</v>
      </c>
      <c r="S639" s="360">
        <f t="shared" ca="1" si="282"/>
        <v>10.637999999999975</v>
      </c>
      <c r="T639" s="357">
        <f t="shared" ca="1" si="262"/>
        <v>104.35877999999975</v>
      </c>
      <c r="U639" s="364">
        <f t="shared" ca="1" si="263"/>
        <v>0</v>
      </c>
      <c r="V639" s="359">
        <f t="shared" ca="1" si="264"/>
        <v>0.96102164443027116</v>
      </c>
      <c r="W639" s="357">
        <f t="shared" ca="1" si="265"/>
        <v>6.9555401968861261</v>
      </c>
      <c r="X639" s="343"/>
      <c r="Y639" s="367" t="str">
        <f t="shared" ca="1" si="283"/>
        <v/>
      </c>
      <c r="Z639" s="368" t="str">
        <f t="shared" ca="1" si="284"/>
        <v/>
      </c>
      <c r="AA639" s="369" t="str">
        <f t="shared" ca="1" si="285"/>
        <v/>
      </c>
      <c r="AB639" s="344"/>
      <c r="AC639" s="363" t="e">
        <f t="shared" ca="1" si="286"/>
        <v>#N/A</v>
      </c>
      <c r="AD639" s="376" t="e">
        <f t="shared" ca="1" si="287"/>
        <v>#N/A</v>
      </c>
      <c r="AE639" s="377">
        <f t="shared" ca="1" si="266"/>
        <v>2415.148598755326</v>
      </c>
      <c r="AF639" s="344"/>
      <c r="AG639" s="359">
        <f t="shared" ca="1" si="288"/>
        <v>-7.6763993347078676</v>
      </c>
      <c r="AH639" s="357">
        <f t="shared" ca="1" si="289"/>
        <v>-0.6719666049198515</v>
      </c>
    </row>
    <row r="640" spans="1:34" x14ac:dyDescent="0.25">
      <c r="A640" s="402">
        <f t="shared" ca="1" si="267"/>
        <v>0.1</v>
      </c>
      <c r="B640" s="357">
        <f t="shared" ca="1" si="268"/>
        <v>18.599999999999934</v>
      </c>
      <c r="C640" s="342"/>
      <c r="D640" s="359">
        <f t="shared" ca="1" si="269"/>
        <v>-0.46343769636863524</v>
      </c>
      <c r="E640" s="360">
        <f t="shared" ca="1" si="270"/>
        <v>-10.27122776582517</v>
      </c>
      <c r="F640" s="357">
        <f t="shared" ca="1" si="271"/>
        <v>10.281677602214211</v>
      </c>
      <c r="G640" s="359">
        <f t="shared" ca="1" si="272"/>
        <v>39.857915580377146</v>
      </c>
      <c r="H640" s="360">
        <f t="shared" ca="1" si="273"/>
        <v>38.686850711398826</v>
      </c>
      <c r="I640" s="357">
        <f t="shared" ca="1" si="274"/>
        <v>55.545709576694854</v>
      </c>
      <c r="J640" s="359">
        <f t="shared" ca="1" si="275"/>
        <v>815.5845987933078</v>
      </c>
      <c r="K640" s="360">
        <f t="shared" ca="1" si="276"/>
        <v>2419.068639965295</v>
      </c>
      <c r="L640" s="357">
        <f t="shared" ca="1" si="261"/>
        <v>2552.855523262604</v>
      </c>
      <c r="M640" s="359">
        <f t="shared" ca="1" si="277"/>
        <v>0.77048974667744496</v>
      </c>
      <c r="N640" s="357">
        <f t="shared" ca="1" si="278"/>
        <v>44.145810642721543</v>
      </c>
      <c r="O640" s="343"/>
      <c r="P640" s="363">
        <f t="shared" ca="1" si="279"/>
        <v>23</v>
      </c>
      <c r="Q640" s="357">
        <f t="shared" ca="1" si="280"/>
        <v>0</v>
      </c>
      <c r="R640" s="359">
        <f t="shared" ca="1" si="281"/>
        <v>0</v>
      </c>
      <c r="S640" s="360">
        <f t="shared" ca="1" si="282"/>
        <v>10.637999999999975</v>
      </c>
      <c r="T640" s="357">
        <f t="shared" ca="1" si="262"/>
        <v>104.35877999999975</v>
      </c>
      <c r="U640" s="364">
        <f t="shared" ca="1" si="263"/>
        <v>0</v>
      </c>
      <c r="V640" s="359">
        <f t="shared" ca="1" si="264"/>
        <v>0.96063941200707492</v>
      </c>
      <c r="W640" s="357">
        <f t="shared" ca="1" si="265"/>
        <v>6.7680191878531151</v>
      </c>
      <c r="X640" s="343"/>
      <c r="Y640" s="367" t="str">
        <f t="shared" ca="1" si="283"/>
        <v/>
      </c>
      <c r="Z640" s="368" t="str">
        <f t="shared" ca="1" si="284"/>
        <v/>
      </c>
      <c r="AA640" s="369" t="str">
        <f t="shared" ca="1" si="285"/>
        <v/>
      </c>
      <c r="AB640" s="344"/>
      <c r="AC640" s="363" t="e">
        <f t="shared" ca="1" si="286"/>
        <v>#N/A</v>
      </c>
      <c r="AD640" s="376" t="e">
        <f t="shared" ca="1" si="287"/>
        <v>#N/A</v>
      </c>
      <c r="AE640" s="377">
        <f t="shared" ca="1" si="266"/>
        <v>2419.068639965295</v>
      </c>
      <c r="AF640" s="344"/>
      <c r="AG640" s="359">
        <f t="shared" ca="1" si="288"/>
        <v>-7.5739582401097865</v>
      </c>
      <c r="AH640" s="357">
        <f t="shared" ca="1" si="289"/>
        <v>-0.65383908600170548</v>
      </c>
    </row>
    <row r="641" spans="1:34" x14ac:dyDescent="0.25">
      <c r="A641" s="402">
        <f t="shared" ca="1" si="267"/>
        <v>0.1</v>
      </c>
      <c r="B641" s="357">
        <f t="shared" ca="1" si="268"/>
        <v>18.699999999999935</v>
      </c>
      <c r="C641" s="342"/>
      <c r="D641" s="359">
        <f t="shared" ca="1" si="269"/>
        <v>-0.45652615005097003</v>
      </c>
      <c r="E641" s="360">
        <f t="shared" ca="1" si="270"/>
        <v>-10.253112961520916</v>
      </c>
      <c r="F641" s="357">
        <f t="shared" ca="1" si="271"/>
        <v>10.26327148268955</v>
      </c>
      <c r="G641" s="359">
        <f t="shared" ca="1" si="272"/>
        <v>39.812262965372049</v>
      </c>
      <c r="H641" s="360">
        <f t="shared" ca="1" si="273"/>
        <v>37.661539415246736</v>
      </c>
      <c r="I641" s="357">
        <f t="shared" ca="1" si="274"/>
        <v>54.803356042765465</v>
      </c>
      <c r="J641" s="359">
        <f t="shared" ca="1" si="275"/>
        <v>819.56810772059521</v>
      </c>
      <c r="K641" s="360">
        <f t="shared" ca="1" si="276"/>
        <v>2422.8860594716275</v>
      </c>
      <c r="L641" s="357">
        <f t="shared" ca="1" si="261"/>
        <v>2557.7468092785625</v>
      </c>
      <c r="M641" s="359">
        <f t="shared" ca="1" si="277"/>
        <v>0.75764463573420671</v>
      </c>
      <c r="N641" s="357">
        <f t="shared" ca="1" si="278"/>
        <v>43.409839998296682</v>
      </c>
      <c r="O641" s="343"/>
      <c r="P641" s="363">
        <f t="shared" ca="1" si="279"/>
        <v>23</v>
      </c>
      <c r="Q641" s="357">
        <f t="shared" ca="1" si="280"/>
        <v>0</v>
      </c>
      <c r="R641" s="359">
        <f t="shared" ca="1" si="281"/>
        <v>0</v>
      </c>
      <c r="S641" s="360">
        <f t="shared" ca="1" si="282"/>
        <v>10.637999999999975</v>
      </c>
      <c r="T641" s="357">
        <f t="shared" ca="1" si="262"/>
        <v>104.35877999999975</v>
      </c>
      <c r="U641" s="364">
        <f t="shared" ca="1" si="263"/>
        <v>0</v>
      </c>
      <c r="V641" s="359">
        <f t="shared" ca="1" si="264"/>
        <v>0.96026731438756796</v>
      </c>
      <c r="W641" s="357">
        <f t="shared" ca="1" si="265"/>
        <v>6.5857705915452431</v>
      </c>
      <c r="X641" s="343"/>
      <c r="Y641" s="367" t="str">
        <f t="shared" ca="1" si="283"/>
        <v/>
      </c>
      <c r="Z641" s="368" t="str">
        <f t="shared" ca="1" si="284"/>
        <v/>
      </c>
      <c r="AA641" s="369" t="str">
        <f t="shared" ca="1" si="285"/>
        <v/>
      </c>
      <c r="AB641" s="344"/>
      <c r="AC641" s="363" t="e">
        <f t="shared" ca="1" si="286"/>
        <v>#N/A</v>
      </c>
      <c r="AD641" s="376" t="e">
        <f t="shared" ca="1" si="287"/>
        <v>#N/A</v>
      </c>
      <c r="AE641" s="377">
        <f t="shared" ca="1" si="266"/>
        <v>2422.8860594716275</v>
      </c>
      <c r="AF641" s="344"/>
      <c r="AG641" s="359">
        <f t="shared" ca="1" si="288"/>
        <v>-7.4687466301176624</v>
      </c>
      <c r="AH641" s="357">
        <f t="shared" ca="1" si="289"/>
        <v>-0.63621161758348665</v>
      </c>
    </row>
    <row r="642" spans="1:34" x14ac:dyDescent="0.25">
      <c r="A642" s="402">
        <f t="shared" ca="1" si="267"/>
        <v>0.1</v>
      </c>
      <c r="B642" s="357">
        <f t="shared" ca="1" si="268"/>
        <v>18.799999999999937</v>
      </c>
      <c r="C642" s="342"/>
      <c r="D642" s="359">
        <f t="shared" ca="1" si="269"/>
        <v>-0.44973462161936917</v>
      </c>
      <c r="E642" s="360">
        <f t="shared" ca="1" si="270"/>
        <v>-10.235439221911376</v>
      </c>
      <c r="F642" s="357">
        <f t="shared" ca="1" si="271"/>
        <v>10.245314894883656</v>
      </c>
      <c r="G642" s="359">
        <f t="shared" ca="1" si="272"/>
        <v>39.767289503210115</v>
      </c>
      <c r="H642" s="360">
        <f t="shared" ca="1" si="273"/>
        <v>36.637995493055598</v>
      </c>
      <c r="I642" s="357">
        <f t="shared" ca="1" si="274"/>
        <v>54.071989312224197</v>
      </c>
      <c r="J642" s="359">
        <f t="shared" ca="1" si="275"/>
        <v>823.54708534402437</v>
      </c>
      <c r="K642" s="360">
        <f t="shared" ca="1" si="276"/>
        <v>2426.6010362170427</v>
      </c>
      <c r="L642" s="357">
        <f t="shared" ca="1" si="261"/>
        <v>2562.5421734574952</v>
      </c>
      <c r="M642" s="359">
        <f t="shared" ca="1" si="277"/>
        <v>0.74446452851628775</v>
      </c>
      <c r="N642" s="357">
        <f t="shared" ca="1" si="278"/>
        <v>42.654675481180007</v>
      </c>
      <c r="O642" s="343"/>
      <c r="P642" s="363">
        <f t="shared" ca="1" si="279"/>
        <v>23</v>
      </c>
      <c r="Q642" s="357">
        <f t="shared" ca="1" si="280"/>
        <v>0</v>
      </c>
      <c r="R642" s="359">
        <f t="shared" ca="1" si="281"/>
        <v>0</v>
      </c>
      <c r="S642" s="360">
        <f t="shared" ca="1" si="282"/>
        <v>10.637999999999975</v>
      </c>
      <c r="T642" s="357">
        <f t="shared" ca="1" si="262"/>
        <v>104.35877999999975</v>
      </c>
      <c r="U642" s="364">
        <f t="shared" ca="1" si="263"/>
        <v>0</v>
      </c>
      <c r="V642" s="359">
        <f t="shared" ca="1" si="264"/>
        <v>0.95990532385488081</v>
      </c>
      <c r="W642" s="357">
        <f t="shared" ca="1" si="265"/>
        <v>6.4087486395669169</v>
      </c>
      <c r="X642" s="343"/>
      <c r="Y642" s="367" t="str">
        <f t="shared" ca="1" si="283"/>
        <v/>
      </c>
      <c r="Z642" s="368" t="str">
        <f t="shared" ca="1" si="284"/>
        <v/>
      </c>
      <c r="AA642" s="369" t="str">
        <f t="shared" ca="1" si="285"/>
        <v/>
      </c>
      <c r="AB642" s="344"/>
      <c r="AC642" s="363" t="e">
        <f t="shared" ca="1" si="286"/>
        <v>#N/A</v>
      </c>
      <c r="AD642" s="376" t="e">
        <f t="shared" ca="1" si="287"/>
        <v>#N/A</v>
      </c>
      <c r="AE642" s="377">
        <f t="shared" ca="1" si="266"/>
        <v>2426.6010362170427</v>
      </c>
      <c r="AF642" s="344"/>
      <c r="AG642" s="359">
        <f t="shared" ca="1" si="288"/>
        <v>-7.3606322648222342</v>
      </c>
      <c r="AH642" s="357">
        <f t="shared" ca="1" si="289"/>
        <v>-0.61907976983880975</v>
      </c>
    </row>
    <row r="643" spans="1:34" x14ac:dyDescent="0.25">
      <c r="A643" s="402">
        <f t="shared" ca="1" si="267"/>
        <v>0.1</v>
      </c>
      <c r="B643" s="357">
        <f t="shared" ca="1" si="268"/>
        <v>18.899999999999938</v>
      </c>
      <c r="C643" s="342"/>
      <c r="D643" s="359">
        <f t="shared" ca="1" si="269"/>
        <v>-0.44306444032347497</v>
      </c>
      <c r="E643" s="360">
        <f t="shared" ca="1" si="270"/>
        <v>-10.218199632675351</v>
      </c>
      <c r="F643" s="357">
        <f t="shared" ca="1" si="271"/>
        <v>10.227800830652004</v>
      </c>
      <c r="G643" s="359">
        <f t="shared" ca="1" si="272"/>
        <v>39.722983059177771</v>
      </c>
      <c r="H643" s="360">
        <f t="shared" ca="1" si="273"/>
        <v>35.616175529788066</v>
      </c>
      <c r="I643" s="357">
        <f t="shared" ca="1" si="274"/>
        <v>53.351919763851036</v>
      </c>
      <c r="J643" s="359">
        <f t="shared" ca="1" si="275"/>
        <v>827.52159897214381</v>
      </c>
      <c r="K643" s="360">
        <f t="shared" ca="1" si="276"/>
        <v>2430.2137447681848</v>
      </c>
      <c r="L643" s="357">
        <f t="shared" ca="1" si="261"/>
        <v>2567.2418744687102</v>
      </c>
      <c r="M643" s="359">
        <f t="shared" ca="1" si="277"/>
        <v>0.7309411302896377</v>
      </c>
      <c r="N643" s="357">
        <f t="shared" ca="1" si="278"/>
        <v>41.87984183811826</v>
      </c>
      <c r="O643" s="343"/>
      <c r="P643" s="363">
        <f t="shared" ca="1" si="279"/>
        <v>23</v>
      </c>
      <c r="Q643" s="357">
        <f t="shared" ca="1" si="280"/>
        <v>0</v>
      </c>
      <c r="R643" s="359">
        <f t="shared" ca="1" si="281"/>
        <v>0</v>
      </c>
      <c r="S643" s="360">
        <f t="shared" ca="1" si="282"/>
        <v>10.637999999999975</v>
      </c>
      <c r="T643" s="357">
        <f t="shared" ca="1" si="262"/>
        <v>104.35877999999975</v>
      </c>
      <c r="U643" s="364">
        <f t="shared" ca="1" si="263"/>
        <v>0</v>
      </c>
      <c r="V643" s="359">
        <f t="shared" ca="1" si="264"/>
        <v>0.95955341342563794</v>
      </c>
      <c r="W643" s="357">
        <f t="shared" ca="1" si="265"/>
        <v>6.2369088913972268</v>
      </c>
      <c r="X643" s="343"/>
      <c r="Y643" s="367" t="str">
        <f t="shared" ca="1" si="283"/>
        <v/>
      </c>
      <c r="Z643" s="368" t="str">
        <f t="shared" ca="1" si="284"/>
        <v/>
      </c>
      <c r="AA643" s="369" t="str">
        <f t="shared" ca="1" si="285"/>
        <v/>
      </c>
      <c r="AB643" s="344"/>
      <c r="AC643" s="363" t="e">
        <f t="shared" ca="1" si="286"/>
        <v>#N/A</v>
      </c>
      <c r="AD643" s="376" t="e">
        <f t="shared" ca="1" si="287"/>
        <v>#N/A</v>
      </c>
      <c r="AE643" s="377">
        <f t="shared" ca="1" si="266"/>
        <v>2430.2137447681848</v>
      </c>
      <c r="AF643" s="344"/>
      <c r="AG643" s="359">
        <f t="shared" ca="1" si="288"/>
        <v>-7.2494803491057098</v>
      </c>
      <c r="AH643" s="357">
        <f t="shared" ca="1" si="289"/>
        <v>-0.60243924041802333</v>
      </c>
    </row>
    <row r="644" spans="1:34" x14ac:dyDescent="0.25">
      <c r="A644" s="402">
        <f t="shared" ca="1" si="267"/>
        <v>0.1</v>
      </c>
      <c r="B644" s="357">
        <f t="shared" ca="1" si="268"/>
        <v>18.99999999999994</v>
      </c>
      <c r="C644" s="342"/>
      <c r="D644" s="359">
        <f t="shared" ca="1" si="269"/>
        <v>-0.43651705621426623</v>
      </c>
      <c r="E644" s="360">
        <f t="shared" ca="1" si="270"/>
        <v>-10.201387224688343</v>
      </c>
      <c r="F644" s="357">
        <f t="shared" ca="1" si="271"/>
        <v>10.210722229519344</v>
      </c>
      <c r="G644" s="359">
        <f t="shared" ca="1" si="272"/>
        <v>39.679331353556343</v>
      </c>
      <c r="H644" s="360">
        <f t="shared" ca="1" si="273"/>
        <v>34.59603680731923</v>
      </c>
      <c r="I644" s="357">
        <f t="shared" ca="1" si="274"/>
        <v>52.643471574723364</v>
      </c>
      <c r="J644" s="359">
        <f t="shared" ca="1" si="275"/>
        <v>831.49171469278053</v>
      </c>
      <c r="K644" s="360">
        <f t="shared" ca="1" si="276"/>
        <v>2433.7243553850403</v>
      </c>
      <c r="L644" s="357">
        <f t="shared" ref="L644:L707" ca="1" si="290">SQRT(pos_x^2+pos_z^2)</f>
        <v>2571.84616756078</v>
      </c>
      <c r="M644" s="359">
        <f t="shared" ca="1" si="277"/>
        <v>0.71706621869278964</v>
      </c>
      <c r="N644" s="357">
        <f t="shared" ca="1" si="278"/>
        <v>41.084867962501747</v>
      </c>
      <c r="O644" s="343"/>
      <c r="P644" s="363">
        <f t="shared" ca="1" si="279"/>
        <v>23</v>
      </c>
      <c r="Q644" s="357">
        <f t="shared" ca="1" si="280"/>
        <v>0</v>
      </c>
      <c r="R644" s="359">
        <f t="shared" ca="1" si="281"/>
        <v>0</v>
      </c>
      <c r="S644" s="360">
        <f t="shared" ca="1" si="282"/>
        <v>10.637999999999975</v>
      </c>
      <c r="T644" s="357">
        <f t="shared" ref="T644:T707" ca="1" si="291">m*g</f>
        <v>104.35877999999975</v>
      </c>
      <c r="U644" s="364">
        <f t="shared" ref="U644:U707" ca="1" si="292">IF(pos_xz&lt;L_rampe,Poids*COS(Beta),0)</f>
        <v>0</v>
      </c>
      <c r="V644" s="359">
        <f t="shared" ref="V644:V707" ca="1" si="293">Rho_moyen*(20000-Alt_rampe-pos_z)/(20000+Alt_rampe+pos_z)</f>
        <v>0.95921155684022341</v>
      </c>
      <c r="W644" s="357">
        <f t="shared" ref="W644:W707" ca="1" si="294">1/2*Rho*Sref*Cx*vit_xz^2</f>
        <v>6.0702082066968659</v>
      </c>
      <c r="X644" s="343"/>
      <c r="Y644" s="367" t="str">
        <f t="shared" ca="1" si="283"/>
        <v/>
      </c>
      <c r="Z644" s="368" t="str">
        <f t="shared" ca="1" si="284"/>
        <v/>
      </c>
      <c r="AA644" s="369" t="str">
        <f t="shared" ca="1" si="285"/>
        <v/>
      </c>
      <c r="AB644" s="344"/>
      <c r="AC644" s="363">
        <f t="shared" ca="1" si="286"/>
        <v>18.99999999999994</v>
      </c>
      <c r="AD644" s="376">
        <f t="shared" ca="1" si="287"/>
        <v>831.49171469278053</v>
      </c>
      <c r="AE644" s="377">
        <f t="shared" ref="AE644:AE707" ca="1" si="295">IF(t&lt;T_para, pos_z, NA())</f>
        <v>2433.7243553850403</v>
      </c>
      <c r="AF644" s="344"/>
      <c r="AG644" s="359">
        <f t="shared" ca="1" si="288"/>
        <v>-7.1351538867924189</v>
      </c>
      <c r="AH644" s="357">
        <f t="shared" ca="1" si="289"/>
        <v>-0.58628585179519099</v>
      </c>
    </row>
    <row r="645" spans="1:34" x14ac:dyDescent="0.25">
      <c r="A645" s="402">
        <f t="shared" ref="A645:A708" ca="1" si="296">IF(B644+0.01&lt;=T_ini+ROUNDUP(Temps_fin_propu,0), 0.01, IF(K644&gt;0, 0.1, 0.0001))</f>
        <v>0.1</v>
      </c>
      <c r="B645" s="357">
        <f t="shared" ref="B645:B708" ca="1" si="297">B644+pas</f>
        <v>19.099999999999941</v>
      </c>
      <c r="C645" s="342"/>
      <c r="D645" s="359">
        <f t="shared" ref="D645:D708" ca="1" si="298">IF(AND(L644&lt;L_rampe,Poussee&lt;Poids*SIN(M644)),0,(-W644+Poussee)/m*COS(M644)-U644/m*SIN(M644))</f>
        <v>-0.43009404117330358</v>
      </c>
      <c r="E645" s="360">
        <f t="shared" ref="E645:E708" ca="1" si="299">IF(AND(L644&lt;L_rampe,Poussee&lt;Poids*SIN(M644)),0,(-W644+Poussee)/m*SIN(M644)+U644/m*COS(M644)-Poids/m)</f>
        <v>-10.184994960133235</v>
      </c>
      <c r="F645" s="357">
        <f t="shared" ref="F645:F708" ca="1" si="300">SQRT(acc_x^2+acc_z^2)</f>
        <v>10.194071964734807</v>
      </c>
      <c r="G645" s="359">
        <f t="shared" ref="G645:G708" ca="1" si="301">G644+acc_x*pas</f>
        <v>39.636321949439015</v>
      </c>
      <c r="H645" s="360">
        <f t="shared" ref="H645:H708" ca="1" si="302">H644+acc_z*pas</f>
        <v>33.577537311305903</v>
      </c>
      <c r="I645" s="357">
        <f t="shared" ref="I645:I708" ca="1" si="303">SQRT(vit_x^2+vit_z^2)</f>
        <v>51.946982872653166</v>
      </c>
      <c r="J645" s="359">
        <f t="shared" ref="J645:J708" ca="1" si="304">J644+0.5*(vit_x+G644)*pas*(K644&gt;=0)</f>
        <v>835.45749735793027</v>
      </c>
      <c r="K645" s="360">
        <f t="shared" ref="K645:K708" ca="1" si="305">K644+0.5*(vit_z+H644)*pas</f>
        <v>2437.1330340909717</v>
      </c>
      <c r="L645" s="357">
        <f t="shared" ca="1" si="290"/>
        <v>2576.3553046404609</v>
      </c>
      <c r="M645" s="359">
        <f t="shared" ref="M645:M708" ca="1" si="306">IF(AND(L644&gt;L_rampe,G645&gt;0),ATAN2(G645,H645),$M$4)</f>
        <v>0.70283168747014058</v>
      </c>
      <c r="N645" s="357">
        <f t="shared" ref="N645:N708" ca="1" si="307">DEGREES(Beta)</f>
        <v>40.26928940009676</v>
      </c>
      <c r="O645" s="343"/>
      <c r="P645" s="363">
        <f t="shared" ref="P645:P708" ca="1" si="308">MATCH(t-pas/2-T_ini,CdP_t)</f>
        <v>23</v>
      </c>
      <c r="Q645" s="357">
        <f t="shared" ref="Q645:Q708" ca="1" si="309">(INDEX(CdP,2,i_P+1)-INDEX(CdP,2,i_P+0))/(INDEX(CdP,1,i_P+1)-INDEX(CdP,1,i_P+0))*(t-pas/2-T_ini-INDEX(CdP,1,i_P+0))+INDEX(CdP,2,i_P+0)</f>
        <v>0</v>
      </c>
      <c r="R645" s="359">
        <f t="shared" ref="R645:R708" ca="1" si="310">Poussee/(g*ISP)</f>
        <v>0</v>
      </c>
      <c r="S645" s="360">
        <f t="shared" ref="S645:S708" ca="1" si="311">S644-Débit*pas</f>
        <v>10.637999999999975</v>
      </c>
      <c r="T645" s="357">
        <f t="shared" ca="1" si="291"/>
        <v>104.35877999999975</v>
      </c>
      <c r="U645" s="364">
        <f t="shared" ca="1" si="292"/>
        <v>0</v>
      </c>
      <c r="V645" s="359">
        <f t="shared" ca="1" si="293"/>
        <v>0.95887972855308312</v>
      </c>
      <c r="W645" s="357">
        <f t="shared" ca="1" si="294"/>
        <v>5.9086047181031134</v>
      </c>
      <c r="X645" s="343"/>
      <c r="Y645" s="367" t="str">
        <f t="shared" ref="Y645:Y708" ca="1" si="312">IF(AND(pos_z&lt;=0,K644&gt;0),"Impact balistique","") &amp; IF(AND(H646&lt;0,vit_z&gt;=0),"Apogée","") &amp; IF(AND(Poussee=0,Q644&gt;0),"Fin de propulsion","") &amp; IF(AND(L646&gt;L_rampe,pos_xz&lt;=L_rampe),"Sortie de rampe","")</f>
        <v/>
      </c>
      <c r="Z645" s="368" t="str">
        <f t="shared" ref="Z645:Z708" ca="1" si="313">IF(ABS(t-T_para)&lt;pas/2,"Para","")</f>
        <v/>
      </c>
      <c r="AA645" s="369" t="str">
        <f t="shared" ref="AA645:AA708" ca="1" si="314">IF(ABS(t-T_satellite)&lt;pas/2,"Satellite","")</f>
        <v/>
      </c>
      <c r="AB645" s="344"/>
      <c r="AC645" s="363" t="e">
        <f t="shared" ref="AC645:AC708" ca="1" si="315">IF(ABS(t-ROUND(t,0))&lt;0.001,t,NA())</f>
        <v>#N/A</v>
      </c>
      <c r="AD645" s="376" t="e">
        <f t="shared" ref="AD645:AD708" ca="1" si="316">IF(ABS(t-ROUND(t,0))&lt;0.001,pos_x,NA())</f>
        <v>#N/A</v>
      </c>
      <c r="AE645" s="377">
        <f t="shared" ca="1" si="295"/>
        <v>2437.1330340909717</v>
      </c>
      <c r="AF645" s="344"/>
      <c r="AG645" s="359">
        <f t="shared" ref="AG645:AG708" ca="1" si="317">IF(AND(L644&lt;L_rampe,Poussee&lt;Poids*SIN(M644)),0,(-W644+Poussee)/m-Poids*SIN(M644)/m)</f>
        <v>-7.0175141084999231</v>
      </c>
      <c r="AH645" s="357">
        <f t="shared" ref="AH645:AH708" ca="1" si="318">IF(AND(L644&lt;L_rampe,Poussee&lt;Poids*SIN(M644)), g*SIN(M644), (-W644+Poussee)/m)</f>
        <v>-0.5706155486648693</v>
      </c>
    </row>
    <row r="646" spans="1:34" x14ac:dyDescent="0.25">
      <c r="A646" s="402">
        <f t="shared" ca="1" si="296"/>
        <v>0.1</v>
      </c>
      <c r="B646" s="357">
        <f t="shared" ca="1" si="297"/>
        <v>19.199999999999942</v>
      </c>
      <c r="C646" s="342"/>
      <c r="D646" s="359">
        <f t="shared" ca="1" si="298"/>
        <v>-0.42379708958289769</v>
      </c>
      <c r="E646" s="360">
        <f t="shared" ca="1" si="299"/>
        <v>-10.169015718109385</v>
      </c>
      <c r="F646" s="357">
        <f t="shared" ca="1" si="300"/>
        <v>10.177842828826483</v>
      </c>
      <c r="G646" s="359">
        <f t="shared" ca="1" si="301"/>
        <v>39.593942240480729</v>
      </c>
      <c r="H646" s="360">
        <f t="shared" ca="1" si="302"/>
        <v>32.560635739494963</v>
      </c>
      <c r="I646" s="357">
        <f t="shared" ca="1" si="303"/>
        <v>51.262805833299851</v>
      </c>
      <c r="J646" s="359">
        <f t="shared" ca="1" si="304"/>
        <v>839.4190105674262</v>
      </c>
      <c r="K646" s="360">
        <f t="shared" ca="1" si="305"/>
        <v>2440.4399427435119</v>
      </c>
      <c r="L646" s="357">
        <f t="shared" ca="1" si="290"/>
        <v>2580.7695343520995</v>
      </c>
      <c r="M646" s="359">
        <f t="shared" ca="1" si="306"/>
        <v>0.68822959526128769</v>
      </c>
      <c r="N646" s="357">
        <f t="shared" ca="1" si="307"/>
        <v>39.432651144468629</v>
      </c>
      <c r="O646" s="343"/>
      <c r="P646" s="363">
        <f t="shared" ca="1" si="308"/>
        <v>23</v>
      </c>
      <c r="Q646" s="357">
        <f t="shared" ca="1" si="309"/>
        <v>0</v>
      </c>
      <c r="R646" s="359">
        <f t="shared" ca="1" si="310"/>
        <v>0</v>
      </c>
      <c r="S646" s="360">
        <f t="shared" ca="1" si="311"/>
        <v>10.637999999999975</v>
      </c>
      <c r="T646" s="357">
        <f t="shared" ca="1" si="291"/>
        <v>104.35877999999975</v>
      </c>
      <c r="U646" s="364">
        <f t="shared" ca="1" si="292"/>
        <v>0</v>
      </c>
      <c r="V646" s="359">
        <f t="shared" ca="1" si="293"/>
        <v>0.95855790372304894</v>
      </c>
      <c r="W646" s="357">
        <f t="shared" ca="1" si="294"/>
        <v>5.7520578044710788</v>
      </c>
      <c r="X646" s="343"/>
      <c r="Y646" s="367" t="str">
        <f t="shared" ca="1" si="312"/>
        <v/>
      </c>
      <c r="Z646" s="368" t="str">
        <f t="shared" ca="1" si="313"/>
        <v/>
      </c>
      <c r="AA646" s="369" t="str">
        <f t="shared" ca="1" si="314"/>
        <v/>
      </c>
      <c r="AB646" s="344"/>
      <c r="AC646" s="363" t="e">
        <f t="shared" ca="1" si="315"/>
        <v>#N/A</v>
      </c>
      <c r="AD646" s="376" t="e">
        <f t="shared" ca="1" si="316"/>
        <v>#N/A</v>
      </c>
      <c r="AE646" s="377">
        <f t="shared" ca="1" si="295"/>
        <v>2440.4399427435119</v>
      </c>
      <c r="AF646" s="344"/>
      <c r="AG646" s="359">
        <f t="shared" ca="1" si="317"/>
        <v>-6.8964209809115271</v>
      </c>
      <c r="AH646" s="357">
        <f t="shared" ca="1" si="318"/>
        <v>-0.55542439538476474</v>
      </c>
    </row>
    <row r="647" spans="1:34" x14ac:dyDescent="0.25">
      <c r="A647" s="402">
        <f t="shared" ca="1" si="296"/>
        <v>0.1</v>
      </c>
      <c r="B647" s="357">
        <f t="shared" ca="1" si="297"/>
        <v>19.299999999999944</v>
      </c>
      <c r="C647" s="342"/>
      <c r="D647" s="359">
        <f t="shared" ca="1" si="298"/>
        <v>-0.41762801857042448</v>
      </c>
      <c r="E647" s="360">
        <f t="shared" ca="1" si="299"/>
        <v>-10.153442279747932</v>
      </c>
      <c r="F647" s="357">
        <f t="shared" ca="1" si="300"/>
        <v>10.162027518663189</v>
      </c>
      <c r="G647" s="359">
        <f t="shared" ca="1" si="301"/>
        <v>39.552179438623689</v>
      </c>
      <c r="H647" s="360">
        <f t="shared" ca="1" si="302"/>
        <v>31.545291511520169</v>
      </c>
      <c r="I647" s="357">
        <f t="shared" ca="1" si="303"/>
        <v>50.591306712634662</v>
      </c>
      <c r="J647" s="359">
        <f t="shared" ca="1" si="304"/>
        <v>843.37631665138144</v>
      </c>
      <c r="K647" s="360">
        <f t="shared" ca="1" si="305"/>
        <v>2443.6452391060625</v>
      </c>
      <c r="L647" s="357">
        <f t="shared" ca="1" si="290"/>
        <v>2585.0891021576367</v>
      </c>
      <c r="M647" s="359">
        <f t="shared" ca="1" si="306"/>
        <v>0.67325221971621707</v>
      </c>
      <c r="N647" s="357">
        <f t="shared" ca="1" si="307"/>
        <v>38.574510737553631</v>
      </c>
      <c r="O647" s="343"/>
      <c r="P647" s="363">
        <f t="shared" ca="1" si="308"/>
        <v>23</v>
      </c>
      <c r="Q647" s="357">
        <f t="shared" ca="1" si="309"/>
        <v>0</v>
      </c>
      <c r="R647" s="359">
        <f t="shared" ca="1" si="310"/>
        <v>0</v>
      </c>
      <c r="S647" s="360">
        <f t="shared" ca="1" si="311"/>
        <v>10.637999999999975</v>
      </c>
      <c r="T647" s="357">
        <f t="shared" ca="1" si="291"/>
        <v>104.35877999999975</v>
      </c>
      <c r="U647" s="364">
        <f t="shared" ca="1" si="292"/>
        <v>0</v>
      </c>
      <c r="V647" s="359">
        <f t="shared" ca="1" si="293"/>
        <v>0.95824605820367559</v>
      </c>
      <c r="W647" s="357">
        <f t="shared" ca="1" si="294"/>
        <v>5.6005280645191835</v>
      </c>
      <c r="X647" s="343"/>
      <c r="Y647" s="367" t="str">
        <f t="shared" ca="1" si="312"/>
        <v/>
      </c>
      <c r="Z647" s="368" t="str">
        <f t="shared" ca="1" si="313"/>
        <v/>
      </c>
      <c r="AA647" s="369" t="str">
        <f t="shared" ca="1" si="314"/>
        <v/>
      </c>
      <c r="AB647" s="344"/>
      <c r="AC647" s="363" t="e">
        <f t="shared" ca="1" si="315"/>
        <v>#N/A</v>
      </c>
      <c r="AD647" s="376" t="e">
        <f t="shared" ca="1" si="316"/>
        <v>#N/A</v>
      </c>
      <c r="AE647" s="377">
        <f t="shared" ca="1" si="295"/>
        <v>2443.6452391060625</v>
      </c>
      <c r="AF647" s="344"/>
      <c r="AG647" s="359">
        <f t="shared" ca="1" si="317"/>
        <v>-6.7717338053440264</v>
      </c>
      <c r="AH647" s="357">
        <f t="shared" ca="1" si="318"/>
        <v>-0.54070857346033951</v>
      </c>
    </row>
    <row r="648" spans="1:34" x14ac:dyDescent="0.25">
      <c r="A648" s="402">
        <f t="shared" ca="1" si="296"/>
        <v>0.1</v>
      </c>
      <c r="B648" s="357">
        <f t="shared" ca="1" si="297"/>
        <v>19.399999999999945</v>
      </c>
      <c r="C648" s="342"/>
      <c r="D648" s="359">
        <f t="shared" ca="1" si="298"/>
        <v>-0.41158876775400322</v>
      </c>
      <c r="E648" s="360">
        <f t="shared" ca="1" si="299"/>
        <v>-10.138267312849733</v>
      </c>
      <c r="F648" s="357">
        <f t="shared" ca="1" si="300"/>
        <v>10.146618620039812</v>
      </c>
      <c r="G648" s="359">
        <f t="shared" ca="1" si="301"/>
        <v>39.511020561848291</v>
      </c>
      <c r="H648" s="360">
        <f t="shared" ca="1" si="302"/>
        <v>30.531464780235197</v>
      </c>
      <c r="I648" s="357">
        <f t="shared" ca="1" si="303"/>
        <v>49.932865804653559</v>
      </c>
      <c r="J648" s="359">
        <f t="shared" ca="1" si="304"/>
        <v>847.329476651405</v>
      </c>
      <c r="K648" s="360">
        <f t="shared" ca="1" si="305"/>
        <v>2446.7490769206502</v>
      </c>
      <c r="L648" s="357">
        <f t="shared" ca="1" si="290"/>
        <v>2589.3142504173566</v>
      </c>
      <c r="M648" s="359">
        <f t="shared" ca="1" si="306"/>
        <v>0.65789211717045992</v>
      </c>
      <c r="N648" s="357">
        <f t="shared" ca="1" si="307"/>
        <v>37.694441688793596</v>
      </c>
      <c r="O648" s="343"/>
      <c r="P648" s="363">
        <f t="shared" ca="1" si="308"/>
        <v>23</v>
      </c>
      <c r="Q648" s="357">
        <f t="shared" ca="1" si="309"/>
        <v>0</v>
      </c>
      <c r="R648" s="359">
        <f t="shared" ca="1" si="310"/>
        <v>0</v>
      </c>
      <c r="S648" s="360">
        <f t="shared" ca="1" si="311"/>
        <v>10.637999999999975</v>
      </c>
      <c r="T648" s="357">
        <f t="shared" ca="1" si="291"/>
        <v>104.35877999999975</v>
      </c>
      <c r="U648" s="364">
        <f t="shared" ca="1" si="292"/>
        <v>0</v>
      </c>
      <c r="V648" s="359">
        <f t="shared" ca="1" si="293"/>
        <v>0.95794416853356001</v>
      </c>
      <c r="W648" s="357">
        <f t="shared" ca="1" si="294"/>
        <v>5.4539772908365887</v>
      </c>
      <c r="X648" s="343"/>
      <c r="Y648" s="367" t="str">
        <f t="shared" ca="1" si="312"/>
        <v/>
      </c>
      <c r="Z648" s="368" t="str">
        <f t="shared" ca="1" si="313"/>
        <v/>
      </c>
      <c r="AA648" s="369" t="str">
        <f t="shared" ca="1" si="314"/>
        <v/>
      </c>
      <c r="AB648" s="344"/>
      <c r="AC648" s="363" t="e">
        <f t="shared" ca="1" si="315"/>
        <v>#N/A</v>
      </c>
      <c r="AD648" s="376" t="e">
        <f t="shared" ca="1" si="316"/>
        <v>#N/A</v>
      </c>
      <c r="AE648" s="377">
        <f t="shared" ca="1" si="295"/>
        <v>2446.7490769206502</v>
      </c>
      <c r="AF648" s="344"/>
      <c r="AG648" s="359">
        <f t="shared" ca="1" si="317"/>
        <v>-6.643311913482429</v>
      </c>
      <c r="AH648" s="357">
        <f t="shared" ca="1" si="318"/>
        <v>-0.52646437906741839</v>
      </c>
    </row>
    <row r="649" spans="1:34" x14ac:dyDescent="0.25">
      <c r="A649" s="402">
        <f t="shared" ca="1" si="296"/>
        <v>0.1</v>
      </c>
      <c r="B649" s="357">
        <f t="shared" ca="1" si="297"/>
        <v>19.499999999999947</v>
      </c>
      <c r="C649" s="342"/>
      <c r="D649" s="359">
        <f t="shared" ca="1" si="298"/>
        <v>-0.40568139841083467</v>
      </c>
      <c r="E649" s="360">
        <f t="shared" ca="1" si="299"/>
        <v>-10.12348335607248</v>
      </c>
      <c r="F649" s="357">
        <f t="shared" ca="1" si="300"/>
        <v>10.131608591812709</v>
      </c>
      <c r="G649" s="359">
        <f t="shared" ca="1" si="301"/>
        <v>39.470452422007206</v>
      </c>
      <c r="H649" s="360">
        <f t="shared" ca="1" si="302"/>
        <v>29.519116444627947</v>
      </c>
      <c r="I649" s="357">
        <f t="shared" ca="1" si="303"/>
        <v>49.28787731348794</v>
      </c>
      <c r="J649" s="359">
        <f t="shared" ca="1" si="304"/>
        <v>851.27855030059777</v>
      </c>
      <c r="K649" s="360">
        <f t="shared" ca="1" si="305"/>
        <v>2449.7516059818931</v>
      </c>
      <c r="L649" s="357">
        <f t="shared" ca="1" si="290"/>
        <v>2593.4452184715128</v>
      </c>
      <c r="M649" s="359">
        <f t="shared" ca="1" si="306"/>
        <v>0.64214218806536616</v>
      </c>
      <c r="N649" s="357">
        <f t="shared" ca="1" si="307"/>
        <v>36.792037223441461</v>
      </c>
      <c r="O649" s="343"/>
      <c r="P649" s="363">
        <f t="shared" ca="1" si="308"/>
        <v>23</v>
      </c>
      <c r="Q649" s="357">
        <f t="shared" ca="1" si="309"/>
        <v>0</v>
      </c>
      <c r="R649" s="359">
        <f t="shared" ca="1" si="310"/>
        <v>0</v>
      </c>
      <c r="S649" s="360">
        <f t="shared" ca="1" si="311"/>
        <v>10.637999999999975</v>
      </c>
      <c r="T649" s="357">
        <f t="shared" ca="1" si="291"/>
        <v>104.35877999999975</v>
      </c>
      <c r="U649" s="364">
        <f t="shared" ca="1" si="292"/>
        <v>0</v>
      </c>
      <c r="V649" s="359">
        <f t="shared" ca="1" si="293"/>
        <v>0.95765221192663941</v>
      </c>
      <c r="W649" s="357">
        <f t="shared" ca="1" si="294"/>
        <v>5.3123684442101586</v>
      </c>
      <c r="X649" s="343"/>
      <c r="Y649" s="367" t="str">
        <f t="shared" ca="1" si="312"/>
        <v/>
      </c>
      <c r="Z649" s="368" t="str">
        <f t="shared" ca="1" si="313"/>
        <v/>
      </c>
      <c r="AA649" s="369" t="str">
        <f t="shared" ca="1" si="314"/>
        <v/>
      </c>
      <c r="AB649" s="344"/>
      <c r="AC649" s="363" t="e">
        <f t="shared" ca="1" si="315"/>
        <v>#N/A</v>
      </c>
      <c r="AD649" s="376" t="e">
        <f t="shared" ca="1" si="316"/>
        <v>#N/A</v>
      </c>
      <c r="AE649" s="377">
        <f t="shared" ca="1" si="295"/>
        <v>2449.7516059818931</v>
      </c>
      <c r="AF649" s="344"/>
      <c r="AG649" s="359">
        <f t="shared" ca="1" si="317"/>
        <v>-6.5110154679544676</v>
      </c>
      <c r="AH649" s="357">
        <f t="shared" ca="1" si="318"/>
        <v>-0.51268822060881758</v>
      </c>
    </row>
    <row r="650" spans="1:34" x14ac:dyDescent="0.25">
      <c r="A650" s="402">
        <f t="shared" ca="1" si="296"/>
        <v>0.1</v>
      </c>
      <c r="B650" s="357">
        <f t="shared" ca="1" si="297"/>
        <v>19.599999999999948</v>
      </c>
      <c r="C650" s="342"/>
      <c r="D650" s="359">
        <f t="shared" ca="1" si="298"/>
        <v>-0.39990809198387062</v>
      </c>
      <c r="E650" s="360">
        <f t="shared" ca="1" si="299"/>
        <v>-10.10908280270532</v>
      </c>
      <c r="F650" s="357">
        <f t="shared" ca="1" si="300"/>
        <v>10.116989749623484</v>
      </c>
      <c r="G650" s="359">
        <f t="shared" ca="1" si="301"/>
        <v>39.43046161280882</v>
      </c>
      <c r="H650" s="360">
        <f t="shared" ca="1" si="302"/>
        <v>28.508208164357416</v>
      </c>
      <c r="I650" s="357">
        <f t="shared" ca="1" si="303"/>
        <v>48.656749128374003</v>
      </c>
      <c r="J650" s="359">
        <f t="shared" ca="1" si="304"/>
        <v>855.22359600233858</v>
      </c>
      <c r="K650" s="360">
        <f t="shared" ca="1" si="305"/>
        <v>2452.6529722123423</v>
      </c>
      <c r="L650" s="357">
        <f t="shared" ca="1" si="290"/>
        <v>2597.482242722981</v>
      </c>
      <c r="M650" s="359">
        <f t="shared" ca="1" si="306"/>
        <v>0.62599574823447457</v>
      </c>
      <c r="N650" s="357">
        <f t="shared" ca="1" si="307"/>
        <v>35.866914366969446</v>
      </c>
      <c r="O650" s="343"/>
      <c r="P650" s="363">
        <f t="shared" ca="1" si="308"/>
        <v>23</v>
      </c>
      <c r="Q650" s="357">
        <f t="shared" ca="1" si="309"/>
        <v>0</v>
      </c>
      <c r="R650" s="359">
        <f t="shared" ca="1" si="310"/>
        <v>0</v>
      </c>
      <c r="S650" s="360">
        <f t="shared" ca="1" si="311"/>
        <v>10.637999999999975</v>
      </c>
      <c r="T650" s="357">
        <f t="shared" ca="1" si="291"/>
        <v>104.35877999999975</v>
      </c>
      <c r="U650" s="364">
        <f t="shared" ca="1" si="292"/>
        <v>0</v>
      </c>
      <c r="V650" s="359">
        <f t="shared" ca="1" si="293"/>
        <v>0.95737016626244387</v>
      </c>
      <c r="W650" s="357">
        <f t="shared" ca="1" si="294"/>
        <v>5.1756656282283275</v>
      </c>
      <c r="X650" s="343"/>
      <c r="Y650" s="367" t="str">
        <f t="shared" ca="1" si="312"/>
        <v/>
      </c>
      <c r="Z650" s="368" t="str">
        <f t="shared" ca="1" si="313"/>
        <v/>
      </c>
      <c r="AA650" s="369" t="str">
        <f t="shared" ca="1" si="314"/>
        <v/>
      </c>
      <c r="AB650" s="344"/>
      <c r="AC650" s="363" t="e">
        <f t="shared" ca="1" si="315"/>
        <v>#N/A</v>
      </c>
      <c r="AD650" s="376" t="e">
        <f t="shared" ca="1" si="316"/>
        <v>#N/A</v>
      </c>
      <c r="AE650" s="377">
        <f t="shared" ca="1" si="295"/>
        <v>2452.6529722123423</v>
      </c>
      <c r="AF650" s="344"/>
      <c r="AG650" s="359">
        <f t="shared" ca="1" si="317"/>
        <v>-6.3747063749748376</v>
      </c>
      <c r="AH650" s="357">
        <f t="shared" ca="1" si="318"/>
        <v>-0.49937661630101249</v>
      </c>
    </row>
    <row r="651" spans="1:34" x14ac:dyDescent="0.25">
      <c r="A651" s="402">
        <f t="shared" ca="1" si="296"/>
        <v>0.1</v>
      </c>
      <c r="B651" s="357">
        <f t="shared" ca="1" si="297"/>
        <v>19.69999999999995</v>
      </c>
      <c r="C651" s="342"/>
      <c r="D651" s="359">
        <f t="shared" ca="1" si="298"/>
        <v>-0.39427114783732575</v>
      </c>
      <c r="E651" s="360">
        <f t="shared" ca="1" si="299"/>
        <v>-10.095057884082578</v>
      </c>
      <c r="F651" s="357">
        <f t="shared" ca="1" si="300"/>
        <v>10.102754249262663</v>
      </c>
      <c r="G651" s="359">
        <f t="shared" ca="1" si="301"/>
        <v>39.391034498025085</v>
      </c>
      <c r="H651" s="360">
        <f t="shared" ca="1" si="302"/>
        <v>27.498702375949158</v>
      </c>
      <c r="I651" s="357">
        <f t="shared" ca="1" si="303"/>
        <v>48.039902489343525</v>
      </c>
      <c r="J651" s="359">
        <f t="shared" ca="1" si="304"/>
        <v>859.16467080788027</v>
      </c>
      <c r="K651" s="360">
        <f t="shared" ca="1" si="305"/>
        <v>2455.4533177393578</v>
      </c>
      <c r="L651" s="357">
        <f t="shared" ca="1" si="290"/>
        <v>2601.4255567210898</v>
      </c>
      <c r="M651" s="359">
        <f t="shared" ca="1" si="306"/>
        <v>0.60944660609568524</v>
      </c>
      <c r="N651" s="357">
        <f t="shared" ca="1" si="307"/>
        <v>34.918718367854716</v>
      </c>
      <c r="O651" s="343"/>
      <c r="P651" s="363">
        <f t="shared" ca="1" si="308"/>
        <v>23</v>
      </c>
      <c r="Q651" s="357">
        <f t="shared" ca="1" si="309"/>
        <v>0</v>
      </c>
      <c r="R651" s="359">
        <f t="shared" ca="1" si="310"/>
        <v>0</v>
      </c>
      <c r="S651" s="360">
        <f t="shared" ca="1" si="311"/>
        <v>10.637999999999975</v>
      </c>
      <c r="T651" s="357">
        <f t="shared" ca="1" si="291"/>
        <v>104.35877999999975</v>
      </c>
      <c r="U651" s="364">
        <f t="shared" ca="1" si="292"/>
        <v>0</v>
      </c>
      <c r="V651" s="359">
        <f t="shared" ca="1" si="293"/>
        <v>0.9570980100762867</v>
      </c>
      <c r="W651" s="357">
        <f t="shared" ca="1" si="294"/>
        <v>5.0438340641190962</v>
      </c>
      <c r="X651" s="343"/>
      <c r="Y651" s="367" t="str">
        <f t="shared" ca="1" si="312"/>
        <v/>
      </c>
      <c r="Z651" s="368" t="str">
        <f t="shared" ca="1" si="313"/>
        <v/>
      </c>
      <c r="AA651" s="369" t="str">
        <f t="shared" ca="1" si="314"/>
        <v/>
      </c>
      <c r="AB651" s="344"/>
      <c r="AC651" s="363" t="e">
        <f t="shared" ca="1" si="315"/>
        <v>#N/A</v>
      </c>
      <c r="AD651" s="376" t="e">
        <f t="shared" ca="1" si="316"/>
        <v>#N/A</v>
      </c>
      <c r="AE651" s="377">
        <f t="shared" ca="1" si="295"/>
        <v>2455.4533177393578</v>
      </c>
      <c r="AF651" s="344"/>
      <c r="AG651" s="359">
        <f t="shared" ca="1" si="317"/>
        <v>-6.2342493155509793</v>
      </c>
      <c r="AH651" s="357">
        <f t="shared" ca="1" si="318"/>
        <v>-0.48652619178683398</v>
      </c>
    </row>
    <row r="652" spans="1:34" x14ac:dyDescent="0.25">
      <c r="A652" s="402">
        <f t="shared" ca="1" si="296"/>
        <v>0.1</v>
      </c>
      <c r="B652" s="357">
        <f t="shared" ca="1" si="297"/>
        <v>19.799999999999951</v>
      </c>
      <c r="C652" s="342"/>
      <c r="D652" s="359">
        <f t="shared" ca="1" si="298"/>
        <v>-0.38877298016713024</v>
      </c>
      <c r="E652" s="360">
        <f t="shared" ca="1" si="299"/>
        <v>-10.081400652703415</v>
      </c>
      <c r="F652" s="357">
        <f t="shared" ca="1" si="300"/>
        <v>10.088894069740096</v>
      </c>
      <c r="G652" s="359">
        <f t="shared" ca="1" si="301"/>
        <v>39.352157200008371</v>
      </c>
      <c r="H652" s="360">
        <f t="shared" ca="1" si="302"/>
        <v>26.490562310678815</v>
      </c>
      <c r="I652" s="357">
        <f t="shared" ca="1" si="303"/>
        <v>47.437771531029234</v>
      </c>
      <c r="J652" s="359">
        <f t="shared" ca="1" si="304"/>
        <v>863.10183039278195</v>
      </c>
      <c r="K652" s="360">
        <f t="shared" ca="1" si="305"/>
        <v>2458.152780973689</v>
      </c>
      <c r="L652" s="357">
        <f t="shared" ca="1" si="290"/>
        <v>2605.2753912467779</v>
      </c>
      <c r="M652" s="359">
        <f t="shared" ca="1" si="306"/>
        <v>0.59248914568880651</v>
      </c>
      <c r="N652" s="357">
        <f t="shared" ca="1" si="307"/>
        <v>33.947127455280366</v>
      </c>
      <c r="O652" s="343"/>
      <c r="P652" s="363">
        <f t="shared" ca="1" si="308"/>
        <v>23</v>
      </c>
      <c r="Q652" s="357">
        <f t="shared" ca="1" si="309"/>
        <v>0</v>
      </c>
      <c r="R652" s="359">
        <f t="shared" ca="1" si="310"/>
        <v>0</v>
      </c>
      <c r="S652" s="360">
        <f t="shared" ca="1" si="311"/>
        <v>10.637999999999975</v>
      </c>
      <c r="T652" s="357">
        <f t="shared" ca="1" si="291"/>
        <v>104.35877999999975</v>
      </c>
      <c r="U652" s="364">
        <f t="shared" ca="1" si="292"/>
        <v>0</v>
      </c>
      <c r="V652" s="359">
        <f t="shared" ca="1" si="293"/>
        <v>0.95683572254937599</v>
      </c>
      <c r="W652" s="357">
        <f t="shared" ca="1" si="294"/>
        <v>4.9168400657793345</v>
      </c>
      <c r="X652" s="343"/>
      <c r="Y652" s="367" t="str">
        <f t="shared" ca="1" si="312"/>
        <v/>
      </c>
      <c r="Z652" s="368" t="str">
        <f t="shared" ca="1" si="313"/>
        <v/>
      </c>
      <c r="AA652" s="369" t="str">
        <f t="shared" ca="1" si="314"/>
        <v/>
      </c>
      <c r="AB652" s="344"/>
      <c r="AC652" s="363" t="e">
        <f t="shared" ca="1" si="315"/>
        <v>#N/A</v>
      </c>
      <c r="AD652" s="376" t="e">
        <f t="shared" ca="1" si="316"/>
        <v>#N/A</v>
      </c>
      <c r="AE652" s="377">
        <f t="shared" ca="1" si="295"/>
        <v>2458.152780973689</v>
      </c>
      <c r="AF652" s="344"/>
      <c r="AG652" s="359">
        <f t="shared" ca="1" si="317"/>
        <v>-6.0895129006547615</v>
      </c>
      <c r="AH652" s="357">
        <f t="shared" ca="1" si="318"/>
        <v>-0.47413367777017373</v>
      </c>
    </row>
    <row r="653" spans="1:34" x14ac:dyDescent="0.25">
      <c r="A653" s="402">
        <f t="shared" ca="1" si="296"/>
        <v>0.1</v>
      </c>
      <c r="B653" s="357">
        <f t="shared" ca="1" si="297"/>
        <v>19.899999999999952</v>
      </c>
      <c r="C653" s="342"/>
      <c r="D653" s="359">
        <f t="shared" ca="1" si="298"/>
        <v>-0.38341611396903574</v>
      </c>
      <c r="E653" s="360">
        <f t="shared" ca="1" si="299"/>
        <v>-10.068102965140953</v>
      </c>
      <c r="F653" s="357">
        <f t="shared" ca="1" si="300"/>
        <v>10.075400996145571</v>
      </c>
      <c r="G653" s="359">
        <f t="shared" ca="1" si="301"/>
        <v>39.313815588611469</v>
      </c>
      <c r="H653" s="360">
        <f t="shared" ca="1" si="302"/>
        <v>25.483752014164718</v>
      </c>
      <c r="I653" s="357">
        <f t="shared" ca="1" si="303"/>
        <v>46.850802691680691</v>
      </c>
      <c r="J653" s="359">
        <f t="shared" ca="1" si="304"/>
        <v>867.03512903221292</v>
      </c>
      <c r="K653" s="360">
        <f t="shared" ca="1" si="305"/>
        <v>2460.7514966899312</v>
      </c>
      <c r="L653" s="357">
        <f t="shared" ca="1" si="290"/>
        <v>2609.0319743992486</v>
      </c>
      <c r="M653" s="359">
        <f t="shared" ca="1" si="306"/>
        <v>0.57511841537754449</v>
      </c>
      <c r="N653" s="357">
        <f t="shared" ca="1" si="307"/>
        <v>32.951857921385084</v>
      </c>
      <c r="O653" s="343"/>
      <c r="P653" s="363">
        <f t="shared" ca="1" si="308"/>
        <v>23</v>
      </c>
      <c r="Q653" s="357">
        <f t="shared" ca="1" si="309"/>
        <v>0</v>
      </c>
      <c r="R653" s="359">
        <f t="shared" ca="1" si="310"/>
        <v>0</v>
      </c>
      <c r="S653" s="360">
        <f t="shared" ca="1" si="311"/>
        <v>10.637999999999975</v>
      </c>
      <c r="T653" s="357">
        <f t="shared" ca="1" si="291"/>
        <v>104.35877999999975</v>
      </c>
      <c r="U653" s="364">
        <f t="shared" ca="1" si="292"/>
        <v>0</v>
      </c>
      <c r="V653" s="359">
        <f t="shared" ca="1" si="293"/>
        <v>0.95658328349882649</v>
      </c>
      <c r="W653" s="357">
        <f t="shared" ca="1" si="294"/>
        <v>4.7946510149526365</v>
      </c>
      <c r="X653" s="343"/>
      <c r="Y653" s="367" t="str">
        <f t="shared" ca="1" si="312"/>
        <v/>
      </c>
      <c r="Z653" s="368" t="str">
        <f t="shared" ca="1" si="313"/>
        <v/>
      </c>
      <c r="AA653" s="369" t="str">
        <f t="shared" ca="1" si="314"/>
        <v/>
      </c>
      <c r="AB653" s="344"/>
      <c r="AC653" s="363" t="e">
        <f t="shared" ca="1" si="315"/>
        <v>#N/A</v>
      </c>
      <c r="AD653" s="376" t="e">
        <f t="shared" ca="1" si="316"/>
        <v>#N/A</v>
      </c>
      <c r="AE653" s="377">
        <f t="shared" ca="1" si="295"/>
        <v>2460.7514966899312</v>
      </c>
      <c r="AF653" s="344"/>
      <c r="AG653" s="359">
        <f t="shared" ca="1" si="317"/>
        <v>-5.9403709542721082</v>
      </c>
      <c r="AH653" s="357">
        <f t="shared" ca="1" si="318"/>
        <v>-0.46219590766867324</v>
      </c>
    </row>
    <row r="654" spans="1:34" x14ac:dyDescent="0.25">
      <c r="A654" s="402">
        <f t="shared" ca="1" si="296"/>
        <v>0.1</v>
      </c>
      <c r="B654" s="357">
        <f t="shared" ca="1" si="297"/>
        <v>19.999999999999954</v>
      </c>
      <c r="C654" s="342"/>
      <c r="D654" s="359">
        <f t="shared" ca="1" si="298"/>
        <v>-0.37820317996507369</v>
      </c>
      <c r="E654" s="360">
        <f t="shared" ca="1" si="299"/>
        <v>-10.055156464843124</v>
      </c>
      <c r="F654" s="357">
        <f t="shared" ca="1" si="300"/>
        <v>10.062266602401875</v>
      </c>
      <c r="G654" s="359">
        <f t="shared" ca="1" si="301"/>
        <v>39.275995270614963</v>
      </c>
      <c r="H654" s="360">
        <f t="shared" ca="1" si="302"/>
        <v>24.478236367680406</v>
      </c>
      <c r="I654" s="357">
        <f t="shared" ca="1" si="303"/>
        <v>46.279453974408561</v>
      </c>
      <c r="J654" s="359">
        <f t="shared" ca="1" si="304"/>
        <v>870.9646195751742</v>
      </c>
      <c r="K654" s="360">
        <f t="shared" ca="1" si="305"/>
        <v>2463.2495961090235</v>
      </c>
      <c r="L654" s="357">
        <f t="shared" ca="1" si="290"/>
        <v>2612.6955316842786</v>
      </c>
      <c r="M654" s="359">
        <f t="shared" ca="1" si="306"/>
        <v>0.55733022189303183</v>
      </c>
      <c r="N654" s="357">
        <f t="shared" ca="1" si="307"/>
        <v>31.932669509560398</v>
      </c>
      <c r="O654" s="343"/>
      <c r="P654" s="363">
        <f t="shared" ca="1" si="308"/>
        <v>23</v>
      </c>
      <c r="Q654" s="357">
        <f t="shared" ca="1" si="309"/>
        <v>0</v>
      </c>
      <c r="R654" s="359">
        <f t="shared" ca="1" si="310"/>
        <v>0</v>
      </c>
      <c r="S654" s="360">
        <f t="shared" ca="1" si="311"/>
        <v>10.637999999999975</v>
      </c>
      <c r="T654" s="357">
        <f t="shared" ca="1" si="291"/>
        <v>104.35877999999975</v>
      </c>
      <c r="U654" s="364">
        <f t="shared" ca="1" si="292"/>
        <v>0</v>
      </c>
      <c r="V654" s="359">
        <f t="shared" ca="1" si="293"/>
        <v>0.95634067336755868</v>
      </c>
      <c r="W654" s="357">
        <f t="shared" ca="1" si="294"/>
        <v>4.6772353365131334</v>
      </c>
      <c r="X654" s="343"/>
      <c r="Y654" s="367" t="str">
        <f t="shared" ca="1" si="312"/>
        <v/>
      </c>
      <c r="Z654" s="368" t="str">
        <f t="shared" ca="1" si="313"/>
        <v/>
      </c>
      <c r="AA654" s="369" t="str">
        <f t="shared" ca="1" si="314"/>
        <v/>
      </c>
      <c r="AB654" s="344"/>
      <c r="AC654" s="363">
        <f t="shared" ca="1" si="315"/>
        <v>19.999999999999954</v>
      </c>
      <c r="AD654" s="376">
        <f t="shared" ca="1" si="316"/>
        <v>870.9646195751742</v>
      </c>
      <c r="AE654" s="377">
        <f t="shared" ca="1" si="295"/>
        <v>2463.2495961090235</v>
      </c>
      <c r="AF654" s="344"/>
      <c r="AG654" s="359">
        <f t="shared" ca="1" si="317"/>
        <v>-5.7867039262915787</v>
      </c>
      <c r="AH654" s="357">
        <f t="shared" ca="1" si="318"/>
        <v>-0.45070981528037674</v>
      </c>
    </row>
    <row r="655" spans="1:34" x14ac:dyDescent="0.25">
      <c r="A655" s="402">
        <f t="shared" ca="1" si="296"/>
        <v>0.1</v>
      </c>
      <c r="B655" s="357">
        <f t="shared" ca="1" si="297"/>
        <v>20.099999999999955</v>
      </c>
      <c r="C655" s="342"/>
      <c r="D655" s="359">
        <f t="shared" ca="1" si="298"/>
        <v>-0.37313690838879338</v>
      </c>
      <c r="E655" s="360">
        <f t="shared" ca="1" si="299"/>
        <v>-10.042552564947474</v>
      </c>
      <c r="F655" s="357">
        <f t="shared" ca="1" si="300"/>
        <v>10.04948223403251</v>
      </c>
      <c r="G655" s="359">
        <f t="shared" ca="1" si="301"/>
        <v>39.238681579776085</v>
      </c>
      <c r="H655" s="360">
        <f t="shared" ca="1" si="302"/>
        <v>23.473981111185658</v>
      </c>
      <c r="I655" s="357">
        <f t="shared" ca="1" si="303"/>
        <v>45.724194047870981</v>
      </c>
      <c r="J655" s="359">
        <f t="shared" ca="1" si="304"/>
        <v>874.89035341769375</v>
      </c>
      <c r="K655" s="360">
        <f t="shared" ca="1" si="305"/>
        <v>2465.647206982967</v>
      </c>
      <c r="L655" s="357">
        <f t="shared" ca="1" si="290"/>
        <v>2616.2662861043491</v>
      </c>
      <c r="M655" s="359">
        <f t="shared" ca="1" si="306"/>
        <v>0.53912122923207695</v>
      </c>
      <c r="N655" s="357">
        <f t="shared" ca="1" si="307"/>
        <v>30.889371080902993</v>
      </c>
      <c r="O655" s="343"/>
      <c r="P655" s="363">
        <f t="shared" ca="1" si="308"/>
        <v>23</v>
      </c>
      <c r="Q655" s="357">
        <f t="shared" ca="1" si="309"/>
        <v>0</v>
      </c>
      <c r="R655" s="359">
        <f t="shared" ca="1" si="310"/>
        <v>0</v>
      </c>
      <c r="S655" s="360">
        <f t="shared" ca="1" si="311"/>
        <v>10.637999999999975</v>
      </c>
      <c r="T655" s="357">
        <f t="shared" ca="1" si="291"/>
        <v>104.35877999999975</v>
      </c>
      <c r="U655" s="364">
        <f t="shared" ca="1" si="292"/>
        <v>0</v>
      </c>
      <c r="V655" s="359">
        <f t="shared" ca="1" si="293"/>
        <v>0.95610787321405966</v>
      </c>
      <c r="W655" s="357">
        <f t="shared" ca="1" si="294"/>
        <v>4.5645624738129946</v>
      </c>
      <c r="X655" s="343"/>
      <c r="Y655" s="367" t="str">
        <f t="shared" ca="1" si="312"/>
        <v/>
      </c>
      <c r="Z655" s="368" t="str">
        <f t="shared" ca="1" si="313"/>
        <v/>
      </c>
      <c r="AA655" s="369" t="str">
        <f t="shared" ca="1" si="314"/>
        <v/>
      </c>
      <c r="AB655" s="344"/>
      <c r="AC655" s="363" t="e">
        <f t="shared" ca="1" si="315"/>
        <v>#N/A</v>
      </c>
      <c r="AD655" s="376" t="e">
        <f t="shared" ca="1" si="316"/>
        <v>#N/A</v>
      </c>
      <c r="AE655" s="377">
        <f t="shared" ca="1" si="295"/>
        <v>2465.647206982967</v>
      </c>
      <c r="AF655" s="344"/>
      <c r="AG655" s="359">
        <f t="shared" ca="1" si="317"/>
        <v>-5.6284004347339192</v>
      </c>
      <c r="AH655" s="357">
        <f t="shared" ca="1" si="318"/>
        <v>-0.43967243246034449</v>
      </c>
    </row>
    <row r="656" spans="1:34" x14ac:dyDescent="0.25">
      <c r="A656" s="402">
        <f t="shared" ca="1" si="296"/>
        <v>0.1</v>
      </c>
      <c r="B656" s="357">
        <f t="shared" ca="1" si="297"/>
        <v>20.199999999999957</v>
      </c>
      <c r="C656" s="342"/>
      <c r="D656" s="359">
        <f t="shared" ca="1" si="298"/>
        <v>-0.36822012153158418</v>
      </c>
      <c r="E656" s="360">
        <f t="shared" ca="1" si="299"/>
        <v>-10.030282431253905</v>
      </c>
      <c r="F656" s="357">
        <f t="shared" ca="1" si="300"/>
        <v>10.037038991088034</v>
      </c>
      <c r="G656" s="359">
        <f t="shared" ca="1" si="301"/>
        <v>39.201859567622925</v>
      </c>
      <c r="H656" s="360">
        <f t="shared" ca="1" si="302"/>
        <v>22.470952868060266</v>
      </c>
      <c r="I656" s="357">
        <f t="shared" ca="1" si="303"/>
        <v>45.185501174140086</v>
      </c>
      <c r="J656" s="359">
        <f t="shared" ca="1" si="304"/>
        <v>878.81238047506372</v>
      </c>
      <c r="K656" s="360">
        <f t="shared" ca="1" si="305"/>
        <v>2467.9444536819292</v>
      </c>
      <c r="L656" s="357">
        <f t="shared" ca="1" si="290"/>
        <v>2619.7444582507746</v>
      </c>
      <c r="M656" s="359">
        <f t="shared" ca="1" si="306"/>
        <v>0.5204890617377389</v>
      </c>
      <c r="N656" s="357">
        <f t="shared" ca="1" si="307"/>
        <v>29.821826520296582</v>
      </c>
      <c r="O656" s="343"/>
      <c r="P656" s="363">
        <f t="shared" ca="1" si="308"/>
        <v>23</v>
      </c>
      <c r="Q656" s="357">
        <f t="shared" ca="1" si="309"/>
        <v>0</v>
      </c>
      <c r="R656" s="359">
        <f t="shared" ca="1" si="310"/>
        <v>0</v>
      </c>
      <c r="S656" s="360">
        <f t="shared" ca="1" si="311"/>
        <v>10.637999999999975</v>
      </c>
      <c r="T656" s="357">
        <f t="shared" ca="1" si="291"/>
        <v>104.35877999999975</v>
      </c>
      <c r="U656" s="364">
        <f t="shared" ca="1" si="292"/>
        <v>0</v>
      </c>
      <c r="V656" s="359">
        <f t="shared" ca="1" si="293"/>
        <v>0.95588486470199274</v>
      </c>
      <c r="W656" s="357">
        <f t="shared" ca="1" si="294"/>
        <v>4.4566028640519013</v>
      </c>
      <c r="X656" s="343"/>
      <c r="Y656" s="367" t="str">
        <f t="shared" ca="1" si="312"/>
        <v/>
      </c>
      <c r="Z656" s="368" t="str">
        <f t="shared" ca="1" si="313"/>
        <v/>
      </c>
      <c r="AA656" s="369" t="str">
        <f t="shared" ca="1" si="314"/>
        <v/>
      </c>
      <c r="AB656" s="344"/>
      <c r="AC656" s="363" t="e">
        <f t="shared" ca="1" si="315"/>
        <v>#N/A</v>
      </c>
      <c r="AD656" s="376" t="e">
        <f t="shared" ca="1" si="316"/>
        <v>#N/A</v>
      </c>
      <c r="AE656" s="377">
        <f t="shared" ca="1" si="295"/>
        <v>2467.9444536819292</v>
      </c>
      <c r="AF656" s="344"/>
      <c r="AG656" s="359">
        <f t="shared" ca="1" si="317"/>
        <v>-5.4653589338179209</v>
      </c>
      <c r="AH656" s="357">
        <f t="shared" ca="1" si="318"/>
        <v>-0.42908088680325301</v>
      </c>
    </row>
    <row r="657" spans="1:34" x14ac:dyDescent="0.25">
      <c r="A657" s="402">
        <f t="shared" ca="1" si="296"/>
        <v>0.1</v>
      </c>
      <c r="B657" s="357">
        <f t="shared" ca="1" si="297"/>
        <v>20.299999999999958</v>
      </c>
      <c r="C657" s="342"/>
      <c r="D657" s="359">
        <f t="shared" ca="1" si="298"/>
        <v>-0.36345572495685641</v>
      </c>
      <c r="E657" s="360">
        <f t="shared" ca="1" si="299"/>
        <v>-10.018336965521849</v>
      </c>
      <c r="F657" s="357">
        <f t="shared" ca="1" si="300"/>
        <v>10.024927711397496</v>
      </c>
      <c r="G657" s="359">
        <f t="shared" ca="1" si="301"/>
        <v>39.165513995127242</v>
      </c>
      <c r="H657" s="360">
        <f t="shared" ca="1" si="302"/>
        <v>21.46911917150808</v>
      </c>
      <c r="I657" s="357">
        <f t="shared" ca="1" si="303"/>
        <v>44.663861952398648</v>
      </c>
      <c r="J657" s="359">
        <f t="shared" ca="1" si="304"/>
        <v>882.73074915320126</v>
      </c>
      <c r="K657" s="360">
        <f t="shared" ca="1" si="305"/>
        <v>2470.1414572839076</v>
      </c>
      <c r="L657" s="357">
        <f t="shared" ca="1" si="290"/>
        <v>2623.1302663979995</v>
      </c>
      <c r="M657" s="359">
        <f t="shared" ca="1" si="306"/>
        <v>0.50143241048397524</v>
      </c>
      <c r="N657" s="357">
        <f t="shared" ca="1" si="307"/>
        <v>28.729960831803236</v>
      </c>
      <c r="O657" s="343"/>
      <c r="P657" s="363">
        <f t="shared" ca="1" si="308"/>
        <v>23</v>
      </c>
      <c r="Q657" s="357">
        <f t="shared" ca="1" si="309"/>
        <v>0</v>
      </c>
      <c r="R657" s="359">
        <f t="shared" ca="1" si="310"/>
        <v>0</v>
      </c>
      <c r="S657" s="360">
        <f t="shared" ca="1" si="311"/>
        <v>10.637999999999975</v>
      </c>
      <c r="T657" s="357">
        <f t="shared" ca="1" si="291"/>
        <v>104.35877999999975</v>
      </c>
      <c r="U657" s="364">
        <f t="shared" ca="1" si="292"/>
        <v>0</v>
      </c>
      <c r="V657" s="359">
        <f t="shared" ca="1" si="293"/>
        <v>0.95567163008963596</v>
      </c>
      <c r="W657" s="357">
        <f t="shared" ca="1" si="294"/>
        <v>4.3533279136276013</v>
      </c>
      <c r="X657" s="343"/>
      <c r="Y657" s="367" t="str">
        <f t="shared" ca="1" si="312"/>
        <v/>
      </c>
      <c r="Z657" s="368" t="str">
        <f t="shared" ca="1" si="313"/>
        <v/>
      </c>
      <c r="AA657" s="369" t="str">
        <f t="shared" ca="1" si="314"/>
        <v/>
      </c>
      <c r="AB657" s="344"/>
      <c r="AC657" s="363" t="e">
        <f t="shared" ca="1" si="315"/>
        <v>#N/A</v>
      </c>
      <c r="AD657" s="376" t="e">
        <f t="shared" ca="1" si="316"/>
        <v>#N/A</v>
      </c>
      <c r="AE657" s="377">
        <f t="shared" ca="1" si="295"/>
        <v>2470.1414572839076</v>
      </c>
      <c r="AF657" s="344"/>
      <c r="AG657" s="359">
        <f t="shared" ca="1" si="317"/>
        <v>-5.2974895007779006</v>
      </c>
      <c r="AH657" s="357">
        <f t="shared" ca="1" si="318"/>
        <v>-0.41893239932806087</v>
      </c>
    </row>
    <row r="658" spans="1:34" x14ac:dyDescent="0.25">
      <c r="A658" s="402">
        <f t="shared" ca="1" si="296"/>
        <v>0.1</v>
      </c>
      <c r="B658" s="357">
        <f t="shared" ca="1" si="297"/>
        <v>20.399999999999959</v>
      </c>
      <c r="C658" s="342"/>
      <c r="D658" s="359">
        <f t="shared" ca="1" si="298"/>
        <v>-0.35884669729635249</v>
      </c>
      <c r="E658" s="360">
        <f t="shared" ca="1" si="299"/>
        <v>-10.006706789281917</v>
      </c>
      <c r="F658" s="357">
        <f t="shared" ca="1" si="300"/>
        <v>10.013138954335014</v>
      </c>
      <c r="G658" s="359">
        <f t="shared" ca="1" si="301"/>
        <v>39.129629325397609</v>
      </c>
      <c r="H658" s="360">
        <f t="shared" ca="1" si="302"/>
        <v>20.468448492579888</v>
      </c>
      <c r="I658" s="357">
        <f t="shared" ca="1" si="303"/>
        <v>44.159769868472054</v>
      </c>
      <c r="J658" s="359">
        <f t="shared" ca="1" si="304"/>
        <v>886.64550631922748</v>
      </c>
      <c r="K658" s="360">
        <f t="shared" ca="1" si="305"/>
        <v>2472.2383356671121</v>
      </c>
      <c r="L658" s="357">
        <f t="shared" ca="1" si="290"/>
        <v>2626.4239266002301</v>
      </c>
      <c r="M658" s="359">
        <f t="shared" ca="1" si="306"/>
        <v>0.48195114186254717</v>
      </c>
      <c r="N658" s="357">
        <f t="shared" ca="1" si="307"/>
        <v>27.613766360234763</v>
      </c>
      <c r="O658" s="343"/>
      <c r="P658" s="363">
        <f t="shared" ca="1" si="308"/>
        <v>23</v>
      </c>
      <c r="Q658" s="357">
        <f t="shared" ca="1" si="309"/>
        <v>0</v>
      </c>
      <c r="R658" s="359">
        <f t="shared" ca="1" si="310"/>
        <v>0</v>
      </c>
      <c r="S658" s="360">
        <f t="shared" ca="1" si="311"/>
        <v>10.637999999999975</v>
      </c>
      <c r="T658" s="357">
        <f t="shared" ca="1" si="291"/>
        <v>104.35877999999975</v>
      </c>
      <c r="U658" s="364">
        <f t="shared" ca="1" si="292"/>
        <v>0</v>
      </c>
      <c r="V658" s="359">
        <f t="shared" ca="1" si="293"/>
        <v>0.95546815221913151</v>
      </c>
      <c r="W658" s="357">
        <f t="shared" ca="1" si="294"/>
        <v>4.2547099734276514</v>
      </c>
      <c r="X658" s="343"/>
      <c r="Y658" s="367" t="str">
        <f t="shared" ca="1" si="312"/>
        <v/>
      </c>
      <c r="Z658" s="368" t="str">
        <f t="shared" ca="1" si="313"/>
        <v/>
      </c>
      <c r="AA658" s="369" t="str">
        <f t="shared" ca="1" si="314"/>
        <v/>
      </c>
      <c r="AB658" s="344"/>
      <c r="AC658" s="363" t="e">
        <f t="shared" ca="1" si="315"/>
        <v>#N/A</v>
      </c>
      <c r="AD658" s="376" t="e">
        <f t="shared" ca="1" si="316"/>
        <v>#N/A</v>
      </c>
      <c r="AE658" s="377">
        <f t="shared" ca="1" si="295"/>
        <v>2472.2383356671121</v>
      </c>
      <c r="AF658" s="344"/>
      <c r="AG658" s="359">
        <f t="shared" ca="1" si="317"/>
        <v>-5.1247157301901325</v>
      </c>
      <c r="AH658" s="357">
        <f t="shared" ca="1" si="318"/>
        <v>-0.40922428216089601</v>
      </c>
    </row>
    <row r="659" spans="1:34" x14ac:dyDescent="0.25">
      <c r="A659" s="402">
        <f t="shared" ca="1" si="296"/>
        <v>0.1</v>
      </c>
      <c r="B659" s="357">
        <f t="shared" ca="1" si="297"/>
        <v>20.499999999999961</v>
      </c>
      <c r="C659" s="342"/>
      <c r="D659" s="359">
        <f t="shared" ca="1" si="298"/>
        <v>-0.35439607855381655</v>
      </c>
      <c r="E659" s="360">
        <f t="shared" ca="1" si="299"/>
        <v>-9.99538222837554</v>
      </c>
      <c r="F659" s="357">
        <f t="shared" ca="1" si="300"/>
        <v>10.001662985314987</v>
      </c>
      <c r="G659" s="359">
        <f t="shared" ca="1" si="301"/>
        <v>39.094189717542228</v>
      </c>
      <c r="H659" s="360">
        <f t="shared" ca="1" si="302"/>
        <v>19.468910269742334</v>
      </c>
      <c r="I659" s="357">
        <f t="shared" ca="1" si="303"/>
        <v>43.673723642053503</v>
      </c>
      <c r="J659" s="359">
        <f t="shared" ca="1" si="304"/>
        <v>890.55669727137445</v>
      </c>
      <c r="K659" s="360">
        <f t="shared" ca="1" si="305"/>
        <v>2474.235203605228</v>
      </c>
      <c r="L659" s="357">
        <f t="shared" ca="1" si="290"/>
        <v>2629.6256527905834</v>
      </c>
      <c r="M659" s="359">
        <f t="shared" ca="1" si="306"/>
        <v>0.46204640703324606</v>
      </c>
      <c r="N659" s="357">
        <f t="shared" ca="1" si="307"/>
        <v>26.473309062188758</v>
      </c>
      <c r="O659" s="343"/>
      <c r="P659" s="363">
        <f t="shared" ca="1" si="308"/>
        <v>23</v>
      </c>
      <c r="Q659" s="357">
        <f t="shared" ca="1" si="309"/>
        <v>0</v>
      </c>
      <c r="R659" s="359">
        <f t="shared" ca="1" si="310"/>
        <v>0</v>
      </c>
      <c r="S659" s="360">
        <f t="shared" ca="1" si="311"/>
        <v>10.637999999999975</v>
      </c>
      <c r="T659" s="357">
        <f t="shared" ca="1" si="291"/>
        <v>104.35877999999975</v>
      </c>
      <c r="U659" s="364">
        <f t="shared" ca="1" si="292"/>
        <v>0</v>
      </c>
      <c r="V659" s="359">
        <f t="shared" ca="1" si="293"/>
        <v>0.95527441450553185</v>
      </c>
      <c r="W659" s="357">
        <f t="shared" ca="1" si="294"/>
        <v>4.1607223140238982</v>
      </c>
      <c r="X659" s="343"/>
      <c r="Y659" s="367" t="str">
        <f t="shared" ca="1" si="312"/>
        <v/>
      </c>
      <c r="Z659" s="368" t="str">
        <f t="shared" ca="1" si="313"/>
        <v/>
      </c>
      <c r="AA659" s="369" t="str">
        <f t="shared" ca="1" si="314"/>
        <v/>
      </c>
      <c r="AB659" s="344"/>
      <c r="AC659" s="363" t="e">
        <f t="shared" ca="1" si="315"/>
        <v>#N/A</v>
      </c>
      <c r="AD659" s="376" t="e">
        <f t="shared" ca="1" si="316"/>
        <v>#N/A</v>
      </c>
      <c r="AE659" s="377">
        <f t="shared" ca="1" si="295"/>
        <v>2474.235203605228</v>
      </c>
      <c r="AF659" s="344"/>
      <c r="AG659" s="359">
        <f t="shared" ca="1" si="317"/>
        <v>-4.9469767198516692</v>
      </c>
      <c r="AH659" s="357">
        <f t="shared" ca="1" si="318"/>
        <v>-0.3999539362124141</v>
      </c>
    </row>
    <row r="660" spans="1:34" x14ac:dyDescent="0.25">
      <c r="A660" s="402">
        <f t="shared" ca="1" si="296"/>
        <v>0.1</v>
      </c>
      <c r="B660" s="357">
        <f t="shared" ca="1" si="297"/>
        <v>20.599999999999962</v>
      </c>
      <c r="C660" s="342"/>
      <c r="D660" s="359">
        <f t="shared" ca="1" si="298"/>
        <v>-0.35010695685608112</v>
      </c>
      <c r="E660" s="360">
        <f t="shared" ca="1" si="299"/>
        <v>-9.9843532984592098</v>
      </c>
      <c r="F660" s="357">
        <f t="shared" ca="1" si="300"/>
        <v>9.9904897612525652</v>
      </c>
      <c r="G660" s="359">
        <f t="shared" ca="1" si="301"/>
        <v>39.059179021856622</v>
      </c>
      <c r="H660" s="360">
        <f t="shared" ca="1" si="302"/>
        <v>18.470474939896413</v>
      </c>
      <c r="I660" s="357">
        <f t="shared" ca="1" si="303"/>
        <v>43.206225365875063</v>
      </c>
      <c r="J660" s="359">
        <f t="shared" ca="1" si="304"/>
        <v>894.46436570834442</v>
      </c>
      <c r="K660" s="360">
        <f t="shared" ca="1" si="305"/>
        <v>2476.1321728657099</v>
      </c>
      <c r="L660" s="357">
        <f t="shared" ca="1" si="290"/>
        <v>2632.7356568829109</v>
      </c>
      <c r="M660" s="359">
        <f t="shared" ca="1" si="306"/>
        <v>0.44172075065358579</v>
      </c>
      <c r="N660" s="357">
        <f t="shared" ca="1" si="307"/>
        <v>25.308734735801067</v>
      </c>
      <c r="O660" s="343"/>
      <c r="P660" s="363">
        <f t="shared" ca="1" si="308"/>
        <v>23</v>
      </c>
      <c r="Q660" s="357">
        <f t="shared" ca="1" si="309"/>
        <v>0</v>
      </c>
      <c r="R660" s="359">
        <f t="shared" ca="1" si="310"/>
        <v>0</v>
      </c>
      <c r="S660" s="360">
        <f t="shared" ca="1" si="311"/>
        <v>10.637999999999975</v>
      </c>
      <c r="T660" s="357">
        <f t="shared" ca="1" si="291"/>
        <v>104.35877999999975</v>
      </c>
      <c r="U660" s="364">
        <f t="shared" ca="1" si="292"/>
        <v>0</v>
      </c>
      <c r="V660" s="359">
        <f t="shared" ca="1" si="293"/>
        <v>0.9550904009256187</v>
      </c>
      <c r="W660" s="357">
        <f t="shared" ca="1" si="294"/>
        <v>4.0713391007329305</v>
      </c>
      <c r="X660" s="343"/>
      <c r="Y660" s="367" t="str">
        <f t="shared" ca="1" si="312"/>
        <v/>
      </c>
      <c r="Z660" s="368" t="str">
        <f t="shared" ca="1" si="313"/>
        <v/>
      </c>
      <c r="AA660" s="369" t="str">
        <f t="shared" ca="1" si="314"/>
        <v/>
      </c>
      <c r="AB660" s="344"/>
      <c r="AC660" s="363" t="e">
        <f t="shared" ca="1" si="315"/>
        <v>#N/A</v>
      </c>
      <c r="AD660" s="376" t="e">
        <f t="shared" ca="1" si="316"/>
        <v>#N/A</v>
      </c>
      <c r="AE660" s="377">
        <f t="shared" ca="1" si="295"/>
        <v>2476.1321728657099</v>
      </c>
      <c r="AF660" s="344"/>
      <c r="AG660" s="359">
        <f t="shared" ca="1" si="317"/>
        <v>-4.7642291270423929</v>
      </c>
      <c r="AH660" s="357">
        <f t="shared" ca="1" si="318"/>
        <v>-0.39111884884601505</v>
      </c>
    </row>
    <row r="661" spans="1:34" x14ac:dyDescent="0.25">
      <c r="A661" s="402">
        <f t="shared" ca="1" si="296"/>
        <v>0.1</v>
      </c>
      <c r="B661" s="357">
        <f t="shared" ca="1" si="297"/>
        <v>20.699999999999964</v>
      </c>
      <c r="C661" s="342"/>
      <c r="D661" s="359">
        <f t="shared" ca="1" si="298"/>
        <v>-0.34598245361065011</v>
      </c>
      <c r="E661" s="360">
        <f t="shared" ca="1" si="299"/>
        <v>-9.9736096917317045</v>
      </c>
      <c r="F661" s="357">
        <f t="shared" ca="1" si="300"/>
        <v>9.9796089172477611</v>
      </c>
      <c r="G661" s="359">
        <f t="shared" ca="1" si="301"/>
        <v>39.024580776495554</v>
      </c>
      <c r="H661" s="360">
        <f t="shared" ca="1" si="302"/>
        <v>17.473113970723244</v>
      </c>
      <c r="I661" s="357">
        <f t="shared" ca="1" si="303"/>
        <v>42.757778434047644</v>
      </c>
      <c r="J661" s="359">
        <f t="shared" ca="1" si="304"/>
        <v>898.36855369826208</v>
      </c>
      <c r="K661" s="360">
        <f t="shared" ca="1" si="305"/>
        <v>2477.929352311241</v>
      </c>
      <c r="L661" s="357">
        <f t="shared" ca="1" si="290"/>
        <v>2635.7541488764678</v>
      </c>
      <c r="M661" s="359">
        <f t="shared" ca="1" si="306"/>
        <v>0.42097821705904209</v>
      </c>
      <c r="N661" s="357">
        <f t="shared" ca="1" si="307"/>
        <v>24.120275104425389</v>
      </c>
      <c r="O661" s="343"/>
      <c r="P661" s="363">
        <f t="shared" ca="1" si="308"/>
        <v>23</v>
      </c>
      <c r="Q661" s="357">
        <f t="shared" ca="1" si="309"/>
        <v>0</v>
      </c>
      <c r="R661" s="359">
        <f t="shared" ca="1" si="310"/>
        <v>0</v>
      </c>
      <c r="S661" s="360">
        <f t="shared" ca="1" si="311"/>
        <v>10.637999999999975</v>
      </c>
      <c r="T661" s="357">
        <f t="shared" ca="1" si="291"/>
        <v>104.35877999999975</v>
      </c>
      <c r="U661" s="364">
        <f t="shared" ca="1" si="292"/>
        <v>0</v>
      </c>
      <c r="V661" s="359">
        <f t="shared" ca="1" si="293"/>
        <v>0.95491609600648941</v>
      </c>
      <c r="W661" s="357">
        <f t="shared" ca="1" si="294"/>
        <v>3.9865353685079565</v>
      </c>
      <c r="X661" s="343"/>
      <c r="Y661" s="367" t="str">
        <f t="shared" ca="1" si="312"/>
        <v/>
      </c>
      <c r="Z661" s="368" t="str">
        <f t="shared" ca="1" si="313"/>
        <v/>
      </c>
      <c r="AA661" s="369" t="str">
        <f t="shared" ca="1" si="314"/>
        <v/>
      </c>
      <c r="AB661" s="344"/>
      <c r="AC661" s="363" t="e">
        <f t="shared" ca="1" si="315"/>
        <v>#N/A</v>
      </c>
      <c r="AD661" s="376" t="e">
        <f t="shared" ca="1" si="316"/>
        <v>#N/A</v>
      </c>
      <c r="AE661" s="377">
        <f t="shared" ca="1" si="295"/>
        <v>2477.929352311241</v>
      </c>
      <c r="AF661" s="344"/>
      <c r="AG661" s="359">
        <f t="shared" ca="1" si="317"/>
        <v>-4.5764492683873517</v>
      </c>
      <c r="AH661" s="357">
        <f t="shared" ca="1" si="318"/>
        <v>-0.38271659153345933</v>
      </c>
    </row>
    <row r="662" spans="1:34" x14ac:dyDescent="0.25">
      <c r="A662" s="402">
        <f t="shared" ca="1" si="296"/>
        <v>0.1</v>
      </c>
      <c r="B662" s="357">
        <f t="shared" ca="1" si="297"/>
        <v>20.799999999999965</v>
      </c>
      <c r="C662" s="342"/>
      <c r="D662" s="359">
        <f t="shared" ca="1" si="298"/>
        <v>-0.34202570705234397</v>
      </c>
      <c r="E662" s="360">
        <f t="shared" ca="1" si="299"/>
        <v>-9.9631407651621036</v>
      </c>
      <c r="F662" s="357">
        <f t="shared" ca="1" si="300"/>
        <v>9.9690097547710099</v>
      </c>
      <c r="G662" s="359">
        <f t="shared" ca="1" si="301"/>
        <v>38.990378205790321</v>
      </c>
      <c r="H662" s="360">
        <f t="shared" ca="1" si="302"/>
        <v>16.476799894207034</v>
      </c>
      <c r="I662" s="357">
        <f t="shared" ca="1" si="303"/>
        <v>42.328885260355129</v>
      </c>
      <c r="J662" s="359">
        <f t="shared" ca="1" si="304"/>
        <v>902.26930164737632</v>
      </c>
      <c r="K662" s="360">
        <f t="shared" ca="1" si="305"/>
        <v>2479.6268480044873</v>
      </c>
      <c r="L662" s="357">
        <f t="shared" ca="1" si="290"/>
        <v>2638.6813369635815</v>
      </c>
      <c r="M662" s="359">
        <f t="shared" ca="1" si="306"/>
        <v>0.39982445182920129</v>
      </c>
      <c r="N662" s="357">
        <f t="shared" ca="1" si="307"/>
        <v>22.90825363594492</v>
      </c>
      <c r="O662" s="343"/>
      <c r="P662" s="363">
        <f t="shared" ca="1" si="308"/>
        <v>23</v>
      </c>
      <c r="Q662" s="357">
        <f t="shared" ca="1" si="309"/>
        <v>0</v>
      </c>
      <c r="R662" s="359">
        <f t="shared" ca="1" si="310"/>
        <v>0</v>
      </c>
      <c r="S662" s="360">
        <f t="shared" ca="1" si="311"/>
        <v>10.637999999999975</v>
      </c>
      <c r="T662" s="357">
        <f t="shared" ca="1" si="291"/>
        <v>104.35877999999975</v>
      </c>
      <c r="U662" s="364">
        <f t="shared" ca="1" si="292"/>
        <v>0</v>
      </c>
      <c r="V662" s="359">
        <f t="shared" ca="1" si="293"/>
        <v>0.95475148481389127</v>
      </c>
      <c r="W662" s="357">
        <f t="shared" ca="1" si="294"/>
        <v>3.9062869966300964</v>
      </c>
      <c r="X662" s="343"/>
      <c r="Y662" s="367" t="str">
        <f t="shared" ca="1" si="312"/>
        <v/>
      </c>
      <c r="Z662" s="368" t="str">
        <f t="shared" ca="1" si="313"/>
        <v/>
      </c>
      <c r="AA662" s="369" t="str">
        <f t="shared" ca="1" si="314"/>
        <v/>
      </c>
      <c r="AB662" s="344"/>
      <c r="AC662" s="363" t="e">
        <f t="shared" ca="1" si="315"/>
        <v>#N/A</v>
      </c>
      <c r="AD662" s="376" t="e">
        <f t="shared" ca="1" si="316"/>
        <v>#N/A</v>
      </c>
      <c r="AE662" s="377">
        <f t="shared" ca="1" si="295"/>
        <v>2479.6268480044873</v>
      </c>
      <c r="AF662" s="344"/>
      <c r="AG662" s="359">
        <f t="shared" ca="1" si="317"/>
        <v>-4.3836352306668473</v>
      </c>
      <c r="AH662" s="357">
        <f t="shared" ca="1" si="318"/>
        <v>-0.37474481749463867</v>
      </c>
    </row>
    <row r="663" spans="1:34" x14ac:dyDescent="0.25">
      <c r="A663" s="402">
        <f t="shared" ca="1" si="296"/>
        <v>0.1</v>
      </c>
      <c r="B663" s="357">
        <f t="shared" ca="1" si="297"/>
        <v>20.899999999999967</v>
      </c>
      <c r="C663" s="342"/>
      <c r="D663" s="359">
        <f t="shared" ca="1" si="298"/>
        <v>-0.33823985418959096</v>
      </c>
      <c r="E663" s="360">
        <f t="shared" ca="1" si="299"/>
        <v>-9.9529355305124998</v>
      </c>
      <c r="F663" s="357">
        <f t="shared" ca="1" si="300"/>
        <v>9.9586812316440945</v>
      </c>
      <c r="G663" s="359">
        <f t="shared" ca="1" si="301"/>
        <v>38.956554220371359</v>
      </c>
      <c r="H663" s="360">
        <f t="shared" ca="1" si="302"/>
        <v>15.481506341155784</v>
      </c>
      <c r="I663" s="357">
        <f t="shared" ca="1" si="303"/>
        <v>41.920044791435764</v>
      </c>
      <c r="J663" s="359">
        <f t="shared" ca="1" si="304"/>
        <v>906.16664826868441</v>
      </c>
      <c r="K663" s="360">
        <f t="shared" ca="1" si="305"/>
        <v>2481.2247633162556</v>
      </c>
      <c r="L663" s="357">
        <f t="shared" ca="1" si="290"/>
        <v>2641.5174276404673</v>
      </c>
      <c r="M663" s="359">
        <f t="shared" ca="1" si="306"/>
        <v>0.37826679646013206</v>
      </c>
      <c r="N663" s="357">
        <f t="shared" ca="1" si="307"/>
        <v>21.673090967099714</v>
      </c>
      <c r="O663" s="343"/>
      <c r="P663" s="363">
        <f t="shared" ca="1" si="308"/>
        <v>23</v>
      </c>
      <c r="Q663" s="357">
        <f t="shared" ca="1" si="309"/>
        <v>0</v>
      </c>
      <c r="R663" s="359">
        <f t="shared" ca="1" si="310"/>
        <v>0</v>
      </c>
      <c r="S663" s="360">
        <f t="shared" ca="1" si="311"/>
        <v>10.637999999999975</v>
      </c>
      <c r="T663" s="357">
        <f t="shared" ca="1" si="291"/>
        <v>104.35877999999975</v>
      </c>
      <c r="U663" s="364">
        <f t="shared" ca="1" si="292"/>
        <v>0</v>
      </c>
      <c r="V663" s="359">
        <f t="shared" ca="1" si="293"/>
        <v>0.95459655294029022</v>
      </c>
      <c r="W663" s="357">
        <f t="shared" ca="1" si="294"/>
        <v>3.8305706831700697</v>
      </c>
      <c r="X663" s="343"/>
      <c r="Y663" s="367" t="str">
        <f t="shared" ca="1" si="312"/>
        <v/>
      </c>
      <c r="Z663" s="368" t="str">
        <f t="shared" ca="1" si="313"/>
        <v/>
      </c>
      <c r="AA663" s="369" t="str">
        <f t="shared" ca="1" si="314"/>
        <v/>
      </c>
      <c r="AB663" s="344"/>
      <c r="AC663" s="363" t="e">
        <f t="shared" ca="1" si="315"/>
        <v>#N/A</v>
      </c>
      <c r="AD663" s="376" t="e">
        <f t="shared" ca="1" si="316"/>
        <v>#N/A</v>
      </c>
      <c r="AE663" s="377">
        <f t="shared" ca="1" si="295"/>
        <v>2481.2247633162556</v>
      </c>
      <c r="AF663" s="344"/>
      <c r="AG663" s="359">
        <f t="shared" ca="1" si="317"/>
        <v>-4.185808953992634</v>
      </c>
      <c r="AH663" s="357">
        <f t="shared" ca="1" si="318"/>
        <v>-0.36720125931849085</v>
      </c>
    </row>
    <row r="664" spans="1:34" x14ac:dyDescent="0.25">
      <c r="A664" s="402">
        <f t="shared" ca="1" si="296"/>
        <v>0.1</v>
      </c>
      <c r="B664" s="357">
        <f t="shared" ca="1" si="297"/>
        <v>20.999999999999968</v>
      </c>
      <c r="C664" s="342"/>
      <c r="D664" s="359">
        <f t="shared" ca="1" si="298"/>
        <v>-0.33462801119345803</v>
      </c>
      <c r="E664" s="360">
        <f t="shared" ca="1" si="299"/>
        <v>-9.9429826464608322</v>
      </c>
      <c r="F664" s="357">
        <f t="shared" ca="1" si="300"/>
        <v>9.9486119541218674</v>
      </c>
      <c r="G664" s="359">
        <f t="shared" ca="1" si="301"/>
        <v>38.92309141925201</v>
      </c>
      <c r="H664" s="360">
        <f t="shared" ca="1" si="302"/>
        <v>14.487208076509701</v>
      </c>
      <c r="I664" s="357">
        <f t="shared" ca="1" si="303"/>
        <v>41.53174982448413</v>
      </c>
      <c r="J664" s="359">
        <f t="shared" ca="1" si="304"/>
        <v>910.06063055066556</v>
      </c>
      <c r="K664" s="360">
        <f t="shared" ca="1" si="305"/>
        <v>2482.7231990371388</v>
      </c>
      <c r="L664" s="357">
        <f t="shared" ca="1" si="290"/>
        <v>2644.2626258213231</v>
      </c>
      <c r="M664" s="359">
        <f t="shared" ca="1" si="306"/>
        <v>0.35631437368180441</v>
      </c>
      <c r="N664" s="357">
        <f t="shared" ca="1" si="307"/>
        <v>20.415309791814689</v>
      </c>
      <c r="O664" s="343"/>
      <c r="P664" s="363">
        <f t="shared" ca="1" si="308"/>
        <v>23</v>
      </c>
      <c r="Q664" s="357">
        <f t="shared" ca="1" si="309"/>
        <v>0</v>
      </c>
      <c r="R664" s="359">
        <f t="shared" ca="1" si="310"/>
        <v>0</v>
      </c>
      <c r="S664" s="360">
        <f t="shared" ca="1" si="311"/>
        <v>10.637999999999975</v>
      </c>
      <c r="T664" s="357">
        <f t="shared" ca="1" si="291"/>
        <v>104.35877999999975</v>
      </c>
      <c r="U664" s="364">
        <f t="shared" ca="1" si="292"/>
        <v>0</v>
      </c>
      <c r="V664" s="359">
        <f t="shared" ca="1" si="293"/>
        <v>0.95445128649266597</v>
      </c>
      <c r="W664" s="357">
        <f t="shared" ca="1" si="294"/>
        <v>3.7593639191949269</v>
      </c>
      <c r="X664" s="343"/>
      <c r="Y664" s="367" t="str">
        <f t="shared" ca="1" si="312"/>
        <v/>
      </c>
      <c r="Z664" s="368" t="str">
        <f t="shared" ca="1" si="313"/>
        <v>Para</v>
      </c>
      <c r="AA664" s="369" t="str">
        <f t="shared" ca="1" si="314"/>
        <v/>
      </c>
      <c r="AB664" s="344"/>
      <c r="AC664" s="363">
        <f t="shared" ca="1" si="315"/>
        <v>20.999999999999968</v>
      </c>
      <c r="AD664" s="376">
        <f t="shared" ca="1" si="316"/>
        <v>910.06063055066556</v>
      </c>
      <c r="AE664" s="377" t="e">
        <f t="shared" ca="1" si="295"/>
        <v>#N/A</v>
      </c>
      <c r="AF664" s="344"/>
      <c r="AG664" s="359">
        <f t="shared" ca="1" si="317"/>
        <v>-3.983018243029401</v>
      </c>
      <c r="AH664" s="357">
        <f t="shared" ca="1" si="318"/>
        <v>-0.36008372656233112</v>
      </c>
    </row>
    <row r="665" spans="1:34" x14ac:dyDescent="0.25">
      <c r="A665" s="402">
        <f t="shared" ca="1" si="296"/>
        <v>0.1</v>
      </c>
      <c r="B665" s="357">
        <f t="shared" ca="1" si="297"/>
        <v>21.099999999999969</v>
      </c>
      <c r="C665" s="342"/>
      <c r="D665" s="359">
        <f t="shared" ca="1" si="298"/>
        <v>-0.33119325230922986</v>
      </c>
      <c r="E665" s="360">
        <f t="shared" ca="1" si="299"/>
        <v>-9.9332704131349292</v>
      </c>
      <c r="F665" s="357">
        <f t="shared" ca="1" si="300"/>
        <v>9.9387901713858984</v>
      </c>
      <c r="G665" s="359">
        <f t="shared" ca="1" si="301"/>
        <v>38.88997209402109</v>
      </c>
      <c r="H665" s="360">
        <f t="shared" ca="1" si="302"/>
        <v>13.493881035196207</v>
      </c>
      <c r="I665" s="357">
        <f t="shared" ca="1" si="303"/>
        <v>41.164484144293205</v>
      </c>
      <c r="J665" s="359">
        <f t="shared" ca="1" si="304"/>
        <v>913.95128372632917</v>
      </c>
      <c r="K665" s="360">
        <f t="shared" ca="1" si="305"/>
        <v>2484.1222534927242</v>
      </c>
      <c r="L665" s="357">
        <f t="shared" ca="1" si="290"/>
        <v>2646.9171349558292</v>
      </c>
      <c r="M665" s="359">
        <f t="shared" ca="1" si="306"/>
        <v>0.33397816082554171</v>
      </c>
      <c r="N665" s="357">
        <f t="shared" ca="1" si="307"/>
        <v>19.135539064844988</v>
      </c>
      <c r="O665" s="343"/>
      <c r="P665" s="363">
        <f t="shared" ca="1" si="308"/>
        <v>23</v>
      </c>
      <c r="Q665" s="357">
        <f t="shared" ca="1" si="309"/>
        <v>0</v>
      </c>
      <c r="R665" s="359">
        <f t="shared" ca="1" si="310"/>
        <v>0</v>
      </c>
      <c r="S665" s="360">
        <f t="shared" ca="1" si="311"/>
        <v>10.637999999999975</v>
      </c>
      <c r="T665" s="357">
        <f t="shared" ca="1" si="291"/>
        <v>104.35877999999975</v>
      </c>
      <c r="U665" s="364">
        <f t="shared" ca="1" si="292"/>
        <v>0</v>
      </c>
      <c r="V665" s="359">
        <f t="shared" ca="1" si="293"/>
        <v>0.95431567208002754</v>
      </c>
      <c r="W665" s="357">
        <f t="shared" ca="1" si="294"/>
        <v>3.6926449626983811</v>
      </c>
      <c r="X665" s="343"/>
      <c r="Y665" s="367" t="str">
        <f t="shared" ca="1" si="312"/>
        <v/>
      </c>
      <c r="Z665" s="368" t="str">
        <f t="shared" ca="1" si="313"/>
        <v/>
      </c>
      <c r="AA665" s="369" t="str">
        <f t="shared" ca="1" si="314"/>
        <v/>
      </c>
      <c r="AB665" s="344"/>
      <c r="AC665" s="363" t="e">
        <f t="shared" ca="1" si="315"/>
        <v>#N/A</v>
      </c>
      <c r="AD665" s="376" t="e">
        <f t="shared" ca="1" si="316"/>
        <v>#N/A</v>
      </c>
      <c r="AE665" s="377" t="e">
        <f t="shared" ca="1" si="295"/>
        <v>#N/A</v>
      </c>
      <c r="AF665" s="344"/>
      <c r="AG665" s="359">
        <f t="shared" ca="1" si="317"/>
        <v>-3.7753386566910043</v>
      </c>
      <c r="AH665" s="357">
        <f t="shared" ca="1" si="318"/>
        <v>-0.3533901033272171</v>
      </c>
    </row>
    <row r="666" spans="1:34" x14ac:dyDescent="0.25">
      <c r="A666" s="402">
        <f t="shared" ca="1" si="296"/>
        <v>0.1</v>
      </c>
      <c r="B666" s="357">
        <f t="shared" ca="1" si="297"/>
        <v>21.199999999999971</v>
      </c>
      <c r="C666" s="342"/>
      <c r="D666" s="359">
        <f t="shared" ca="1" si="298"/>
        <v>-0.32793858741070492</v>
      </c>
      <c r="E666" s="360">
        <f t="shared" ca="1" si="299"/>
        <v>-9.9237867693674868</v>
      </c>
      <c r="F666" s="357">
        <f t="shared" ca="1" si="300"/>
        <v>9.9292037727597329</v>
      </c>
      <c r="G666" s="359">
        <f t="shared" ca="1" si="301"/>
        <v>38.857178235280017</v>
      </c>
      <c r="H666" s="360">
        <f t="shared" ca="1" si="302"/>
        <v>12.501502358259458</v>
      </c>
      <c r="I666" s="357">
        <f t="shared" ca="1" si="303"/>
        <v>40.818719500027015</v>
      </c>
      <c r="J666" s="359">
        <f t="shared" ca="1" si="304"/>
        <v>917.83864124279421</v>
      </c>
      <c r="K666" s="360">
        <f t="shared" ca="1" si="305"/>
        <v>2485.422022662397</v>
      </c>
      <c r="L666" s="357">
        <f t="shared" ca="1" si="290"/>
        <v>2649.4811571501427</v>
      </c>
      <c r="M666" s="359">
        <f t="shared" ca="1" si="306"/>
        <v>0.31127104857494187</v>
      </c>
      <c r="N666" s="357">
        <f t="shared" ca="1" si="307"/>
        <v>17.834517367955808</v>
      </c>
      <c r="O666" s="343"/>
      <c r="P666" s="363">
        <f t="shared" ca="1" si="308"/>
        <v>23</v>
      </c>
      <c r="Q666" s="357">
        <f t="shared" ca="1" si="309"/>
        <v>0</v>
      </c>
      <c r="R666" s="359">
        <f t="shared" ca="1" si="310"/>
        <v>0</v>
      </c>
      <c r="S666" s="360">
        <f t="shared" ca="1" si="311"/>
        <v>10.637999999999975</v>
      </c>
      <c r="T666" s="357">
        <f t="shared" ca="1" si="291"/>
        <v>104.35877999999975</v>
      </c>
      <c r="U666" s="364">
        <f t="shared" ca="1" si="292"/>
        <v>0</v>
      </c>
      <c r="V666" s="359">
        <f t="shared" ca="1" si="293"/>
        <v>0.95418969680063548</v>
      </c>
      <c r="W666" s="357">
        <f t="shared" ca="1" si="294"/>
        <v>3.6303928122378859</v>
      </c>
      <c r="X666" s="343"/>
      <c r="Y666" s="367" t="str">
        <f t="shared" ca="1" si="312"/>
        <v/>
      </c>
      <c r="Z666" s="368" t="str">
        <f t="shared" ca="1" si="313"/>
        <v/>
      </c>
      <c r="AA666" s="369" t="str">
        <f t="shared" ca="1" si="314"/>
        <v/>
      </c>
      <c r="AB666" s="344"/>
      <c r="AC666" s="363" t="e">
        <f t="shared" ca="1" si="315"/>
        <v>#N/A</v>
      </c>
      <c r="AD666" s="376" t="e">
        <f t="shared" ca="1" si="316"/>
        <v>#N/A</v>
      </c>
      <c r="AE666" s="377" t="e">
        <f t="shared" ca="1" si="295"/>
        <v>#N/A</v>
      </c>
      <c r="AF666" s="344"/>
      <c r="AG666" s="359">
        <f t="shared" ca="1" si="317"/>
        <v>-3.5628752223240618</v>
      </c>
      <c r="AH666" s="357">
        <f t="shared" ca="1" si="318"/>
        <v>-0.34711834580733125</v>
      </c>
    </row>
    <row r="667" spans="1:34" x14ac:dyDescent="0.25">
      <c r="A667" s="402">
        <f t="shared" ca="1" si="296"/>
        <v>0.1</v>
      </c>
      <c r="B667" s="357">
        <f t="shared" ca="1" si="297"/>
        <v>21.299999999999972</v>
      </c>
      <c r="C667" s="342"/>
      <c r="D667" s="359">
        <f t="shared" ca="1" si="298"/>
        <v>-0.32486693836059216</v>
      </c>
      <c r="E667" s="360">
        <f t="shared" ca="1" si="299"/>
        <v>-9.9145192929719244</v>
      </c>
      <c r="F667" s="357">
        <f t="shared" ca="1" si="300"/>
        <v>9.9198402879457834</v>
      </c>
      <c r="G667" s="359">
        <f t="shared" ca="1" si="301"/>
        <v>38.824691541443961</v>
      </c>
      <c r="H667" s="360">
        <f t="shared" ca="1" si="302"/>
        <v>11.510050428962266</v>
      </c>
      <c r="I667" s="357">
        <f t="shared" ca="1" si="303"/>
        <v>40.494912447930105</v>
      </c>
      <c r="J667" s="359">
        <f t="shared" ca="1" si="304"/>
        <v>921.72273473163045</v>
      </c>
      <c r="K667" s="360">
        <f t="shared" ca="1" si="305"/>
        <v>2486.6226003017582</v>
      </c>
      <c r="L667" s="357">
        <f t="shared" ca="1" si="290"/>
        <v>2651.9548932914813</v>
      </c>
      <c r="M667" s="359">
        <f t="shared" ca="1" si="306"/>
        <v>0.28820788243883905</v>
      </c>
      <c r="N667" s="357">
        <f t="shared" ca="1" si="307"/>
        <v>16.513095286148072</v>
      </c>
      <c r="O667" s="343"/>
      <c r="P667" s="363">
        <f t="shared" ca="1" si="308"/>
        <v>23</v>
      </c>
      <c r="Q667" s="357">
        <f t="shared" ca="1" si="309"/>
        <v>0</v>
      </c>
      <c r="R667" s="359">
        <f t="shared" ca="1" si="310"/>
        <v>0</v>
      </c>
      <c r="S667" s="360">
        <f t="shared" ca="1" si="311"/>
        <v>10.637999999999975</v>
      </c>
      <c r="T667" s="357">
        <f t="shared" ca="1" si="291"/>
        <v>104.35877999999975</v>
      </c>
      <c r="U667" s="364">
        <f t="shared" ca="1" si="292"/>
        <v>0</v>
      </c>
      <c r="V667" s="359">
        <f t="shared" ca="1" si="293"/>
        <v>0.95407334822893541</v>
      </c>
      <c r="W667" s="357">
        <f t="shared" ca="1" si="294"/>
        <v>3.5725871802666598</v>
      </c>
      <c r="X667" s="343"/>
      <c r="Y667" s="367" t="str">
        <f t="shared" ca="1" si="312"/>
        <v/>
      </c>
      <c r="Z667" s="368" t="str">
        <f t="shared" ca="1" si="313"/>
        <v/>
      </c>
      <c r="AA667" s="369" t="str">
        <f t="shared" ca="1" si="314"/>
        <v/>
      </c>
      <c r="AB667" s="344"/>
      <c r="AC667" s="363" t="e">
        <f t="shared" ca="1" si="315"/>
        <v>#N/A</v>
      </c>
      <c r="AD667" s="376" t="e">
        <f t="shared" ca="1" si="316"/>
        <v>#N/A</v>
      </c>
      <c r="AE667" s="377" t="e">
        <f t="shared" ca="1" si="295"/>
        <v>#N/A</v>
      </c>
      <c r="AF667" s="344"/>
      <c r="AG667" s="359">
        <f t="shared" ca="1" si="317"/>
        <v>-3.3457639171810438</v>
      </c>
      <c r="AH667" s="357">
        <f t="shared" ca="1" si="318"/>
        <v>-0.34126647981179681</v>
      </c>
    </row>
    <row r="668" spans="1:34" x14ac:dyDescent="0.25">
      <c r="A668" s="402">
        <f t="shared" ca="1" si="296"/>
        <v>0.1</v>
      </c>
      <c r="B668" s="357">
        <f t="shared" ca="1" si="297"/>
        <v>21.399999999999974</v>
      </c>
      <c r="C668" s="342"/>
      <c r="D668" s="359">
        <f t="shared" ca="1" si="298"/>
        <v>-0.32198111438534355</v>
      </c>
      <c r="E668" s="360">
        <f t="shared" ca="1" si="299"/>
        <v>-9.9054552043199813</v>
      </c>
      <c r="F668" s="357">
        <f t="shared" ca="1" si="300"/>
        <v>9.9106868905646817</v>
      </c>
      <c r="G668" s="359">
        <f t="shared" ca="1" si="301"/>
        <v>38.792493430005429</v>
      </c>
      <c r="H668" s="360">
        <f t="shared" ca="1" si="302"/>
        <v>10.519504908530267</v>
      </c>
      <c r="I668" s="357">
        <f t="shared" ca="1" si="303"/>
        <v>40.19350109206222</v>
      </c>
      <c r="J668" s="359">
        <f t="shared" ca="1" si="304"/>
        <v>925.60359398020296</v>
      </c>
      <c r="K668" s="360">
        <f t="shared" ca="1" si="305"/>
        <v>2487.7240780686329</v>
      </c>
      <c r="L668" s="357">
        <f t="shared" ca="1" si="290"/>
        <v>2654.3385431763404</v>
      </c>
      <c r="M668" s="359">
        <f t="shared" ca="1" si="306"/>
        <v>0.26480548437986418</v>
      </c>
      <c r="N668" s="357">
        <f t="shared" ca="1" si="307"/>
        <v>15.172236646883663</v>
      </c>
      <c r="O668" s="343"/>
      <c r="P668" s="363">
        <f t="shared" ca="1" si="308"/>
        <v>23</v>
      </c>
      <c r="Q668" s="357">
        <f t="shared" ca="1" si="309"/>
        <v>0</v>
      </c>
      <c r="R668" s="359">
        <f t="shared" ca="1" si="310"/>
        <v>0</v>
      </c>
      <c r="S668" s="360">
        <f t="shared" ca="1" si="311"/>
        <v>10.637999999999975</v>
      </c>
      <c r="T668" s="357">
        <f t="shared" ca="1" si="291"/>
        <v>104.35877999999975</v>
      </c>
      <c r="U668" s="364">
        <f t="shared" ca="1" si="292"/>
        <v>0</v>
      </c>
      <c r="V668" s="359">
        <f t="shared" ca="1" si="293"/>
        <v>0.95396661440219799</v>
      </c>
      <c r="W668" s="357">
        <f t="shared" ca="1" si="294"/>
        <v>3.5192084661543648</v>
      </c>
      <c r="X668" s="343"/>
      <c r="Y668" s="367" t="str">
        <f t="shared" ca="1" si="312"/>
        <v/>
      </c>
      <c r="Z668" s="368" t="str">
        <f t="shared" ca="1" si="313"/>
        <v/>
      </c>
      <c r="AA668" s="369" t="str">
        <f t="shared" ca="1" si="314"/>
        <v/>
      </c>
      <c r="AB668" s="344"/>
      <c r="AC668" s="363" t="e">
        <f t="shared" ca="1" si="315"/>
        <v>#N/A</v>
      </c>
      <c r="AD668" s="376" t="e">
        <f t="shared" ca="1" si="316"/>
        <v>#N/A</v>
      </c>
      <c r="AE668" s="377" t="e">
        <f t="shared" ca="1" si="295"/>
        <v>#N/A</v>
      </c>
      <c r="AF668" s="344"/>
      <c r="AG668" s="359">
        <f t="shared" ca="1" si="317"/>
        <v>-3.1241728583660082</v>
      </c>
      <c r="AH668" s="357">
        <f t="shared" ca="1" si="318"/>
        <v>-0.33583259825781803</v>
      </c>
    </row>
    <row r="669" spans="1:34" x14ac:dyDescent="0.25">
      <c r="A669" s="402">
        <f t="shared" ca="1" si="296"/>
        <v>0.1</v>
      </c>
      <c r="B669" s="357">
        <f t="shared" ca="1" si="297"/>
        <v>21.499999999999975</v>
      </c>
      <c r="C669" s="342"/>
      <c r="D669" s="359">
        <f t="shared" ca="1" si="298"/>
        <v>-0.31928378671803415</v>
      </c>
      <c r="E669" s="360">
        <f t="shared" ca="1" si="299"/>
        <v>-9.8965813734725447</v>
      </c>
      <c r="F669" s="357">
        <f t="shared" ca="1" si="300"/>
        <v>9.901730405248605</v>
      </c>
      <c r="G669" s="359">
        <f t="shared" ca="1" si="301"/>
        <v>38.760565051333629</v>
      </c>
      <c r="H669" s="360">
        <f t="shared" ca="1" si="302"/>
        <v>9.5298467711830135</v>
      </c>
      <c r="I669" s="357">
        <f t="shared" ca="1" si="303"/>
        <v>39.914901760882401</v>
      </c>
      <c r="J669" s="359">
        <f t="shared" ca="1" si="304"/>
        <v>929.48124690426994</v>
      </c>
      <c r="K669" s="360">
        <f t="shared" ca="1" si="305"/>
        <v>2488.7265456526188</v>
      </c>
      <c r="L669" s="357">
        <f t="shared" ca="1" si="290"/>
        <v>2656.6323056423771</v>
      </c>
      <c r="M669" s="359">
        <f t="shared" ca="1" si="306"/>
        <v>0.24108265222773789</v>
      </c>
      <c r="N669" s="357">
        <f t="shared" ca="1" si="307"/>
        <v>13.813018486469575</v>
      </c>
      <c r="O669" s="343"/>
      <c r="P669" s="363">
        <f t="shared" ca="1" si="308"/>
        <v>23</v>
      </c>
      <c r="Q669" s="357">
        <f t="shared" ca="1" si="309"/>
        <v>0</v>
      </c>
      <c r="R669" s="359">
        <f t="shared" ca="1" si="310"/>
        <v>0</v>
      </c>
      <c r="S669" s="360">
        <f t="shared" ca="1" si="311"/>
        <v>10.637999999999975</v>
      </c>
      <c r="T669" s="357">
        <f t="shared" ca="1" si="291"/>
        <v>104.35877999999975</v>
      </c>
      <c r="U669" s="364">
        <f t="shared" ca="1" si="292"/>
        <v>0</v>
      </c>
      <c r="V669" s="359">
        <f t="shared" ca="1" si="293"/>
        <v>0.9538694838068712</v>
      </c>
      <c r="W669" s="357">
        <f t="shared" ca="1" si="294"/>
        <v>3.4702377288960666</v>
      </c>
      <c r="X669" s="343"/>
      <c r="Y669" s="367" t="str">
        <f t="shared" ca="1" si="312"/>
        <v/>
      </c>
      <c r="Z669" s="368" t="str">
        <f t="shared" ca="1" si="313"/>
        <v/>
      </c>
      <c r="AA669" s="369" t="str">
        <f t="shared" ca="1" si="314"/>
        <v/>
      </c>
      <c r="AB669" s="344"/>
      <c r="AC669" s="363" t="e">
        <f t="shared" ca="1" si="315"/>
        <v>#N/A</v>
      </c>
      <c r="AD669" s="376" t="e">
        <f t="shared" ca="1" si="316"/>
        <v>#N/A</v>
      </c>
      <c r="AE669" s="377" t="e">
        <f t="shared" ca="1" si="295"/>
        <v>#N/A</v>
      </c>
      <c r="AF669" s="344"/>
      <c r="AG669" s="359">
        <f t="shared" ca="1" si="317"/>
        <v>-2.8983031427806214</v>
      </c>
      <c r="AH669" s="357">
        <f t="shared" ca="1" si="318"/>
        <v>-0.33081485863455284</v>
      </c>
    </row>
    <row r="670" spans="1:34" x14ac:dyDescent="0.25">
      <c r="A670" s="402">
        <f t="shared" ca="1" si="296"/>
        <v>0.1</v>
      </c>
      <c r="B670" s="357">
        <f t="shared" ca="1" si="297"/>
        <v>21.599999999999977</v>
      </c>
      <c r="C670" s="342"/>
      <c r="D670" s="359">
        <f t="shared" ca="1" si="298"/>
        <v>-0.31677746280684177</v>
      </c>
      <c r="E670" s="360">
        <f t="shared" ca="1" si="299"/>
        <v>-9.887884331075032</v>
      </c>
      <c r="F670" s="357">
        <f t="shared" ca="1" si="300"/>
        <v>9.8929573184999384</v>
      </c>
      <c r="G670" s="359">
        <f t="shared" ca="1" si="301"/>
        <v>38.728887305052943</v>
      </c>
      <c r="H670" s="360">
        <f t="shared" ca="1" si="302"/>
        <v>8.5410583380755103</v>
      </c>
      <c r="I670" s="357">
        <f t="shared" ca="1" si="303"/>
        <v>39.659505662853391</v>
      </c>
      <c r="J670" s="359">
        <f t="shared" ca="1" si="304"/>
        <v>933.35571952208932</v>
      </c>
      <c r="K670" s="360">
        <f t="shared" ca="1" si="305"/>
        <v>2489.6300909080819</v>
      </c>
      <c r="L670" s="357">
        <f t="shared" ca="1" si="290"/>
        <v>2658.8363787039589</v>
      </c>
      <c r="M670" s="359">
        <f t="shared" ca="1" si="306"/>
        <v>0.21706013480975261</v>
      </c>
      <c r="N670" s="357">
        <f t="shared" ca="1" si="307"/>
        <v>12.436629625139512</v>
      </c>
      <c r="O670" s="343"/>
      <c r="P670" s="363">
        <f t="shared" ca="1" si="308"/>
        <v>23</v>
      </c>
      <c r="Q670" s="357">
        <f t="shared" ca="1" si="309"/>
        <v>0</v>
      </c>
      <c r="R670" s="359">
        <f t="shared" ca="1" si="310"/>
        <v>0</v>
      </c>
      <c r="S670" s="360">
        <f t="shared" ca="1" si="311"/>
        <v>10.637999999999975</v>
      </c>
      <c r="T670" s="357">
        <f t="shared" ca="1" si="291"/>
        <v>104.35877999999975</v>
      </c>
      <c r="U670" s="364">
        <f t="shared" ca="1" si="292"/>
        <v>0</v>
      </c>
      <c r="V670" s="359">
        <f t="shared" ca="1" si="293"/>
        <v>0.95378194536464644</v>
      </c>
      <c r="W670" s="357">
        <f t="shared" ca="1" si="294"/>
        <v>3.4256566595154672</v>
      </c>
      <c r="X670" s="343"/>
      <c r="Y670" s="367" t="str">
        <f t="shared" ca="1" si="312"/>
        <v/>
      </c>
      <c r="Z670" s="368" t="str">
        <f t="shared" ca="1" si="313"/>
        <v/>
      </c>
      <c r="AA670" s="369" t="str">
        <f t="shared" ca="1" si="314"/>
        <v/>
      </c>
      <c r="AB670" s="344"/>
      <c r="AC670" s="363" t="e">
        <f t="shared" ca="1" si="315"/>
        <v>#N/A</v>
      </c>
      <c r="AD670" s="376" t="e">
        <f t="shared" ca="1" si="316"/>
        <v>#N/A</v>
      </c>
      <c r="AE670" s="377" t="e">
        <f t="shared" ca="1" si="295"/>
        <v>#N/A</v>
      </c>
      <c r="AF670" s="344"/>
      <c r="AG670" s="359">
        <f t="shared" ca="1" si="317"/>
        <v>-2.6683892812340195</v>
      </c>
      <c r="AH670" s="357">
        <f t="shared" ca="1" si="318"/>
        <v>-0.32621148043768328</v>
      </c>
    </row>
    <row r="671" spans="1:34" x14ac:dyDescent="0.25">
      <c r="A671" s="402">
        <f t="shared" ca="1" si="296"/>
        <v>0.1</v>
      </c>
      <c r="B671" s="357">
        <f t="shared" ca="1" si="297"/>
        <v>21.699999999999978</v>
      </c>
      <c r="C671" s="342"/>
      <c r="D671" s="359">
        <f t="shared" ca="1" si="298"/>
        <v>-0.31446446042738968</v>
      </c>
      <c r="E671" s="360">
        <f t="shared" ca="1" si="299"/>
        <v>-9.8793502831776774</v>
      </c>
      <c r="F671" s="357">
        <f t="shared" ca="1" si="300"/>
        <v>9.8843537934755616</v>
      </c>
      <c r="G671" s="359">
        <f t="shared" ca="1" si="301"/>
        <v>38.697440859010207</v>
      </c>
      <c r="H671" s="360">
        <f t="shared" ca="1" si="302"/>
        <v>7.5531233097577424</v>
      </c>
      <c r="I671" s="357">
        <f t="shared" ca="1" si="303"/>
        <v>39.427675568932521</v>
      </c>
      <c r="J671" s="359">
        <f t="shared" ca="1" si="304"/>
        <v>937.22703593029246</v>
      </c>
      <c r="K671" s="360">
        <f t="shared" ca="1" si="305"/>
        <v>2490.4347999904735</v>
      </c>
      <c r="L671" s="357">
        <f t="shared" ca="1" si="290"/>
        <v>2660.9509596913413</v>
      </c>
      <c r="M671" s="359">
        <f t="shared" ca="1" si="306"/>
        <v>0.19276058114430891</v>
      </c>
      <c r="N671" s="357">
        <f t="shared" ca="1" si="307"/>
        <v>11.044367756057937</v>
      </c>
      <c r="O671" s="343"/>
      <c r="P671" s="363">
        <f t="shared" ca="1" si="308"/>
        <v>23</v>
      </c>
      <c r="Q671" s="357">
        <f t="shared" ca="1" si="309"/>
        <v>0</v>
      </c>
      <c r="R671" s="359">
        <f t="shared" ca="1" si="310"/>
        <v>0</v>
      </c>
      <c r="S671" s="360">
        <f t="shared" ca="1" si="311"/>
        <v>10.637999999999975</v>
      </c>
      <c r="T671" s="357">
        <f t="shared" ca="1" si="291"/>
        <v>104.35877999999975</v>
      </c>
      <c r="U671" s="364">
        <f t="shared" ca="1" si="292"/>
        <v>0</v>
      </c>
      <c r="V671" s="359">
        <f t="shared" ca="1" si="293"/>
        <v>0.95370398841825654</v>
      </c>
      <c r="W671" s="357">
        <f t="shared" ca="1" si="294"/>
        <v>3.385447553174977</v>
      </c>
      <c r="X671" s="343"/>
      <c r="Y671" s="367" t="str">
        <f t="shared" ca="1" si="312"/>
        <v/>
      </c>
      <c r="Z671" s="368" t="str">
        <f t="shared" ca="1" si="313"/>
        <v/>
      </c>
      <c r="AA671" s="369" t="str">
        <f t="shared" ca="1" si="314"/>
        <v/>
      </c>
      <c r="AB671" s="344"/>
      <c r="AC671" s="363" t="e">
        <f t="shared" ca="1" si="315"/>
        <v>#N/A</v>
      </c>
      <c r="AD671" s="376" t="e">
        <f t="shared" ca="1" si="316"/>
        <v>#N/A</v>
      </c>
      <c r="AE671" s="377" t="e">
        <f t="shared" ca="1" si="295"/>
        <v>#N/A</v>
      </c>
      <c r="AF671" s="344"/>
      <c r="AG671" s="359">
        <f t="shared" ca="1" si="317"/>
        <v>-2.434699176058587</v>
      </c>
      <c r="AH671" s="357">
        <f t="shared" ca="1" si="318"/>
        <v>-0.32202074257524677</v>
      </c>
    </row>
    <row r="672" spans="1:34" x14ac:dyDescent="0.25">
      <c r="A672" s="402">
        <f t="shared" ca="1" si="296"/>
        <v>0.1</v>
      </c>
      <c r="B672" s="357">
        <f t="shared" ca="1" si="297"/>
        <v>21.799999999999979</v>
      </c>
      <c r="C672" s="342"/>
      <c r="D672" s="359">
        <f t="shared" ca="1" si="298"/>
        <v>-0.31234688207265426</v>
      </c>
      <c r="E672" s="360">
        <f t="shared" ca="1" si="299"/>
        <v>-9.8709651300794956</v>
      </c>
      <c r="F672" s="357">
        <f t="shared" ca="1" si="300"/>
        <v>9.8759056887956262</v>
      </c>
      <c r="G672" s="359">
        <f t="shared" ca="1" si="301"/>
        <v>38.666206170802944</v>
      </c>
      <c r="H672" s="360">
        <f t="shared" ca="1" si="302"/>
        <v>6.5660267967497923</v>
      </c>
      <c r="I672" s="357">
        <f t="shared" ca="1" si="303"/>
        <v>39.219742573590104</v>
      </c>
      <c r="J672" s="359">
        <f t="shared" ca="1" si="304"/>
        <v>941.0952182817831</v>
      </c>
      <c r="K672" s="360">
        <f t="shared" ca="1" si="305"/>
        <v>2491.1407574957989</v>
      </c>
      <c r="L672" s="357">
        <f t="shared" ca="1" si="290"/>
        <v>2662.9762453934095</v>
      </c>
      <c r="M672" s="359">
        <f t="shared" ca="1" si="306"/>
        <v>0.16820846256338282</v>
      </c>
      <c r="N672" s="357">
        <f t="shared" ca="1" si="307"/>
        <v>9.6376349832661443</v>
      </c>
      <c r="O672" s="343"/>
      <c r="P672" s="363">
        <f t="shared" ca="1" si="308"/>
        <v>23</v>
      </c>
      <c r="Q672" s="357">
        <f t="shared" ca="1" si="309"/>
        <v>0</v>
      </c>
      <c r="R672" s="359">
        <f t="shared" ca="1" si="310"/>
        <v>0</v>
      </c>
      <c r="S672" s="360">
        <f t="shared" ca="1" si="311"/>
        <v>10.637999999999975</v>
      </c>
      <c r="T672" s="357">
        <f t="shared" ca="1" si="291"/>
        <v>104.35877999999975</v>
      </c>
      <c r="U672" s="364">
        <f t="shared" ca="1" si="292"/>
        <v>0</v>
      </c>
      <c r="V672" s="359">
        <f t="shared" ca="1" si="293"/>
        <v>0.95363560271701142</v>
      </c>
      <c r="W672" s="357">
        <f t="shared" ca="1" si="294"/>
        <v>3.3495932810120554</v>
      </c>
      <c r="X672" s="343"/>
      <c r="Y672" s="367" t="str">
        <f t="shared" ca="1" si="312"/>
        <v/>
      </c>
      <c r="Z672" s="368" t="str">
        <f t="shared" ca="1" si="313"/>
        <v/>
      </c>
      <c r="AA672" s="369" t="str">
        <f t="shared" ca="1" si="314"/>
        <v/>
      </c>
      <c r="AB672" s="344"/>
      <c r="AC672" s="363" t="e">
        <f t="shared" ca="1" si="315"/>
        <v>#N/A</v>
      </c>
      <c r="AD672" s="376" t="e">
        <f t="shared" ca="1" si="316"/>
        <v>#N/A</v>
      </c>
      <c r="AE672" s="377" t="e">
        <f t="shared" ca="1" si="295"/>
        <v>#N/A</v>
      </c>
      <c r="AF672" s="344"/>
      <c r="AG672" s="359">
        <f t="shared" ca="1" si="317"/>
        <v>-2.1975335994339948</v>
      </c>
      <c r="AH672" s="357">
        <f t="shared" ca="1" si="318"/>
        <v>-0.31824098074590945</v>
      </c>
    </row>
    <row r="673" spans="1:34" x14ac:dyDescent="0.25">
      <c r="A673" s="402">
        <f t="shared" ca="1" si="296"/>
        <v>0.1</v>
      </c>
      <c r="B673" s="357">
        <f t="shared" ca="1" si="297"/>
        <v>21.899999999999981</v>
      </c>
      <c r="C673" s="342"/>
      <c r="D673" s="359">
        <f t="shared" ca="1" si="298"/>
        <v>-0.31042659002224243</v>
      </c>
      <c r="E673" s="360">
        <f t="shared" ca="1" si="299"/>
        <v>-9.862714489223638</v>
      </c>
      <c r="F673" s="357">
        <f t="shared" ca="1" si="300"/>
        <v>9.8675985814044314</v>
      </c>
      <c r="G673" s="359">
        <f t="shared" ca="1" si="301"/>
        <v>38.63516351180072</v>
      </c>
      <c r="H673" s="360">
        <f t="shared" ca="1" si="302"/>
        <v>5.5797553478274287</v>
      </c>
      <c r="I673" s="357">
        <f t="shared" ca="1" si="303"/>
        <v>39.036002988589729</v>
      </c>
      <c r="J673" s="359">
        <f t="shared" ca="1" si="304"/>
        <v>944.96028676591334</v>
      </c>
      <c r="K673" s="360">
        <f t="shared" ca="1" si="305"/>
        <v>2491.7480466030279</v>
      </c>
      <c r="L673" s="357">
        <f t="shared" ca="1" si="290"/>
        <v>2664.9124322038656</v>
      </c>
      <c r="M673" s="359">
        <f t="shared" ca="1" si="306"/>
        <v>0.14342996724633272</v>
      </c>
      <c r="N673" s="357">
        <f t="shared" ca="1" si="307"/>
        <v>8.2179317789144992</v>
      </c>
      <c r="O673" s="343"/>
      <c r="P673" s="363">
        <f t="shared" ca="1" si="308"/>
        <v>23</v>
      </c>
      <c r="Q673" s="357">
        <f t="shared" ca="1" si="309"/>
        <v>0</v>
      </c>
      <c r="R673" s="359">
        <f t="shared" ca="1" si="310"/>
        <v>0</v>
      </c>
      <c r="S673" s="360">
        <f t="shared" ca="1" si="311"/>
        <v>10.637999999999975</v>
      </c>
      <c r="T673" s="357">
        <f t="shared" ca="1" si="291"/>
        <v>104.35877999999975</v>
      </c>
      <c r="U673" s="364">
        <f t="shared" ca="1" si="292"/>
        <v>0</v>
      </c>
      <c r="V673" s="359">
        <f t="shared" ca="1" si="293"/>
        <v>0.95357677840209332</v>
      </c>
      <c r="W673" s="357">
        <f t="shared" ca="1" si="294"/>
        <v>3.3180772617281096</v>
      </c>
      <c r="X673" s="343"/>
      <c r="Y673" s="367" t="str">
        <f t="shared" ca="1" si="312"/>
        <v/>
      </c>
      <c r="Z673" s="368" t="str">
        <f t="shared" ca="1" si="313"/>
        <v/>
      </c>
      <c r="AA673" s="369" t="str">
        <f t="shared" ca="1" si="314"/>
        <v/>
      </c>
      <c r="AB673" s="344"/>
      <c r="AC673" s="363" t="e">
        <f t="shared" ca="1" si="315"/>
        <v>#N/A</v>
      </c>
      <c r="AD673" s="376" t="e">
        <f t="shared" ca="1" si="316"/>
        <v>#N/A</v>
      </c>
      <c r="AE673" s="377" t="e">
        <f t="shared" ca="1" si="295"/>
        <v>#N/A</v>
      </c>
      <c r="AF673" s="344"/>
      <c r="AG673" s="359">
        <f t="shared" ca="1" si="317"/>
        <v>-1.9572251401600043</v>
      </c>
      <c r="AH673" s="357">
        <f t="shared" ca="1" si="318"/>
        <v>-0.31487058479150809</v>
      </c>
    </row>
    <row r="674" spans="1:34" x14ac:dyDescent="0.25">
      <c r="A674" s="402">
        <f t="shared" ca="1" si="296"/>
        <v>0.1</v>
      </c>
      <c r="B674" s="357">
        <f t="shared" ca="1" si="297"/>
        <v>21.999999999999982</v>
      </c>
      <c r="C674" s="342"/>
      <c r="D674" s="359">
        <f t="shared" ca="1" si="298"/>
        <v>-0.30870518251158618</v>
      </c>
      <c r="E674" s="360">
        <f t="shared" ca="1" si="299"/>
        <v>-9.8545837220928281</v>
      </c>
      <c r="F674" s="357">
        <f t="shared" ca="1" si="300"/>
        <v>9.859417793432149</v>
      </c>
      <c r="G674" s="359">
        <f t="shared" ca="1" si="301"/>
        <v>38.604292993549564</v>
      </c>
      <c r="H674" s="360">
        <f t="shared" ca="1" si="302"/>
        <v>4.5942969756181462</v>
      </c>
      <c r="I674" s="357">
        <f t="shared" ca="1" si="303"/>
        <v>38.876715424942908</v>
      </c>
      <c r="J674" s="359">
        <f t="shared" ca="1" si="304"/>
        <v>948.82225959118091</v>
      </c>
      <c r="K674" s="360">
        <f t="shared" ca="1" si="305"/>
        <v>2492.2567492192002</v>
      </c>
      <c r="L674" s="357">
        <f t="shared" ca="1" si="290"/>
        <v>2666.7597162707348</v>
      </c>
      <c r="M674" s="359">
        <f t="shared" ca="1" si="306"/>
        <v>0.11845286734353574</v>
      </c>
      <c r="N674" s="357">
        <f t="shared" ca="1" si="307"/>
        <v>6.7868493700076131</v>
      </c>
      <c r="O674" s="343"/>
      <c r="P674" s="363">
        <f t="shared" ca="1" si="308"/>
        <v>23</v>
      </c>
      <c r="Q674" s="357">
        <f t="shared" ca="1" si="309"/>
        <v>0</v>
      </c>
      <c r="R674" s="359">
        <f t="shared" ca="1" si="310"/>
        <v>0</v>
      </c>
      <c r="S674" s="360">
        <f t="shared" ca="1" si="311"/>
        <v>10.637999999999975</v>
      </c>
      <c r="T674" s="357">
        <f t="shared" ca="1" si="291"/>
        <v>104.35877999999975</v>
      </c>
      <c r="U674" s="364">
        <f t="shared" ca="1" si="292"/>
        <v>0</v>
      </c>
      <c r="V674" s="359">
        <f t="shared" ca="1" si="293"/>
        <v>0.95352750599163405</v>
      </c>
      <c r="W674" s="357">
        <f t="shared" ca="1" si="294"/>
        <v>3.2908834329631804</v>
      </c>
      <c r="X674" s="343"/>
      <c r="Y674" s="367" t="str">
        <f t="shared" ca="1" si="312"/>
        <v/>
      </c>
      <c r="Z674" s="368" t="str">
        <f t="shared" ca="1" si="313"/>
        <v/>
      </c>
      <c r="AA674" s="369" t="str">
        <f t="shared" ca="1" si="314"/>
        <v/>
      </c>
      <c r="AB674" s="344"/>
      <c r="AC674" s="363">
        <f t="shared" ca="1" si="315"/>
        <v>21.999999999999982</v>
      </c>
      <c r="AD674" s="376">
        <f t="shared" ca="1" si="316"/>
        <v>948.82225959118091</v>
      </c>
      <c r="AE674" s="377" t="e">
        <f t="shared" ca="1" si="295"/>
        <v>#N/A</v>
      </c>
      <c r="AF674" s="344"/>
      <c r="AG674" s="359">
        <f t="shared" ca="1" si="317"/>
        <v>-1.7141365996614655</v>
      </c>
      <c r="AH674" s="357">
        <f t="shared" ca="1" si="318"/>
        <v>-0.31190799602633179</v>
      </c>
    </row>
    <row r="675" spans="1:34" x14ac:dyDescent="0.25">
      <c r="A675" s="402">
        <f t="shared" ca="1" si="296"/>
        <v>0.1</v>
      </c>
      <c r="B675" s="357">
        <f t="shared" ca="1" si="297"/>
        <v>22.099999999999984</v>
      </c>
      <c r="C675" s="342"/>
      <c r="D675" s="359">
        <f t="shared" ca="1" si="298"/>
        <v>-0.30718397142923259</v>
      </c>
      <c r="E675" s="360">
        <f t="shared" ca="1" si="299"/>
        <v>-9.8465579649685981</v>
      </c>
      <c r="F675" s="357">
        <f t="shared" ca="1" si="300"/>
        <v>9.8513484229210757</v>
      </c>
      <c r="G675" s="359">
        <f t="shared" ca="1" si="301"/>
        <v>38.573574596406637</v>
      </c>
      <c r="H675" s="360">
        <f t="shared" ca="1" si="302"/>
        <v>3.6096411791212866</v>
      </c>
      <c r="I675" s="357">
        <f t="shared" ca="1" si="303"/>
        <v>38.742098118023442</v>
      </c>
      <c r="J675" s="359">
        <f t="shared" ca="1" si="304"/>
        <v>952.68115297067868</v>
      </c>
      <c r="K675" s="360">
        <f t="shared" ca="1" si="305"/>
        <v>2492.6669461269371</v>
      </c>
      <c r="L675" s="357">
        <f t="shared" ca="1" si="290"/>
        <v>2668.5182936489928</v>
      </c>
      <c r="M675" s="359">
        <f t="shared" ca="1" si="306"/>
        <v>9.3306359620271326E-2</v>
      </c>
      <c r="N675" s="357">
        <f t="shared" ca="1" si="307"/>
        <v>5.3460606079714337</v>
      </c>
      <c r="O675" s="343"/>
      <c r="P675" s="363">
        <f t="shared" ca="1" si="308"/>
        <v>23</v>
      </c>
      <c r="Q675" s="357">
        <f t="shared" ca="1" si="309"/>
        <v>0</v>
      </c>
      <c r="R675" s="359">
        <f t="shared" ca="1" si="310"/>
        <v>0</v>
      </c>
      <c r="S675" s="360">
        <f t="shared" ca="1" si="311"/>
        <v>10.637999999999975</v>
      </c>
      <c r="T675" s="357">
        <f t="shared" ca="1" si="291"/>
        <v>104.35877999999975</v>
      </c>
      <c r="U675" s="364">
        <f t="shared" ca="1" si="292"/>
        <v>0</v>
      </c>
      <c r="V675" s="359">
        <f t="shared" ca="1" si="293"/>
        <v>0.95348777636559556</v>
      </c>
      <c r="W675" s="357">
        <f t="shared" ca="1" si="294"/>
        <v>3.2679962224962629</v>
      </c>
      <c r="X675" s="343"/>
      <c r="Y675" s="367" t="str">
        <f t="shared" ca="1" si="312"/>
        <v/>
      </c>
      <c r="Z675" s="368" t="str">
        <f t="shared" ca="1" si="313"/>
        <v/>
      </c>
      <c r="AA675" s="369" t="str">
        <f t="shared" ca="1" si="314"/>
        <v/>
      </c>
      <c r="AB675" s="344"/>
      <c r="AC675" s="363" t="e">
        <f t="shared" ca="1" si="315"/>
        <v>#N/A</v>
      </c>
      <c r="AD675" s="376" t="e">
        <f t="shared" ca="1" si="316"/>
        <v>#N/A</v>
      </c>
      <c r="AE675" s="377" t="e">
        <f t="shared" ca="1" si="295"/>
        <v>#N/A</v>
      </c>
      <c r="AF675" s="344"/>
      <c r="AG675" s="359">
        <f t="shared" ca="1" si="317"/>
        <v>-1.4686588332009045</v>
      </c>
      <c r="AH675" s="357">
        <f t="shared" ca="1" si="318"/>
        <v>-0.30935170454626698</v>
      </c>
    </row>
    <row r="676" spans="1:34" x14ac:dyDescent="0.25">
      <c r="A676" s="402">
        <f t="shared" ca="1" si="296"/>
        <v>0.1</v>
      </c>
      <c r="B676" s="357">
        <f t="shared" ca="1" si="297"/>
        <v>22.199999999999985</v>
      </c>
      <c r="C676" s="342"/>
      <c r="D676" s="359">
        <f t="shared" ca="1" si="298"/>
        <v>-0.30586396196546917</v>
      </c>
      <c r="E676" s="360">
        <f t="shared" ca="1" si="299"/>
        <v>-9.8386221633299868</v>
      </c>
      <c r="F676" s="357">
        <f t="shared" ca="1" si="300"/>
        <v>9.8433753781920377</v>
      </c>
      <c r="G676" s="359">
        <f t="shared" ca="1" si="301"/>
        <v>38.54298820021009</v>
      </c>
      <c r="H676" s="360">
        <f t="shared" ca="1" si="302"/>
        <v>2.6257789627882877</v>
      </c>
      <c r="I676" s="357">
        <f t="shared" ca="1" si="303"/>
        <v>38.63232654866848</v>
      </c>
      <c r="J676" s="359">
        <f t="shared" ca="1" si="304"/>
        <v>956.53698111050949</v>
      </c>
      <c r="K676" s="360">
        <f t="shared" ca="1" si="305"/>
        <v>2492.9787171340326</v>
      </c>
      <c r="L676" s="357">
        <f t="shared" ca="1" si="290"/>
        <v>2670.1883604561035</v>
      </c>
      <c r="M676" s="359">
        <f t="shared" ca="1" si="306"/>
        <v>6.8020881329448765E-2</v>
      </c>
      <c r="N676" s="357">
        <f t="shared" ca="1" si="307"/>
        <v>3.8973094189376343</v>
      </c>
      <c r="O676" s="343"/>
      <c r="P676" s="363">
        <f t="shared" ca="1" si="308"/>
        <v>23</v>
      </c>
      <c r="Q676" s="357">
        <f t="shared" ca="1" si="309"/>
        <v>0</v>
      </c>
      <c r="R676" s="359">
        <f t="shared" ca="1" si="310"/>
        <v>0</v>
      </c>
      <c r="S676" s="360">
        <f t="shared" ca="1" si="311"/>
        <v>10.637999999999975</v>
      </c>
      <c r="T676" s="357">
        <f t="shared" ca="1" si="291"/>
        <v>104.35877999999975</v>
      </c>
      <c r="U676" s="364">
        <f t="shared" ca="1" si="292"/>
        <v>0</v>
      </c>
      <c r="V676" s="359">
        <f t="shared" ca="1" si="293"/>
        <v>0.95345758075048725</v>
      </c>
      <c r="W676" s="357">
        <f t="shared" ca="1" si="294"/>
        <v>3.249400519317581</v>
      </c>
      <c r="X676" s="343"/>
      <c r="Y676" s="367" t="str">
        <f t="shared" ca="1" si="312"/>
        <v/>
      </c>
      <c r="Z676" s="368" t="str">
        <f t="shared" ca="1" si="313"/>
        <v/>
      </c>
      <c r="AA676" s="369" t="str">
        <f t="shared" ca="1" si="314"/>
        <v/>
      </c>
      <c r="AB676" s="344"/>
      <c r="AC676" s="363" t="e">
        <f t="shared" ca="1" si="315"/>
        <v>#N/A</v>
      </c>
      <c r="AD676" s="376" t="e">
        <f t="shared" ca="1" si="316"/>
        <v>#N/A</v>
      </c>
      <c r="AE676" s="377" t="e">
        <f t="shared" ca="1" si="295"/>
        <v>#N/A</v>
      </c>
      <c r="AF676" s="344"/>
      <c r="AG676" s="359">
        <f t="shared" ca="1" si="317"/>
        <v>-1.2212080490753909</v>
      </c>
      <c r="AH676" s="357">
        <f t="shared" ca="1" si="318"/>
        <v>-0.30720024652155203</v>
      </c>
    </row>
    <row r="677" spans="1:34" x14ac:dyDescent="0.25">
      <c r="A677" s="402">
        <f t="shared" ca="1" si="296"/>
        <v>0.1</v>
      </c>
      <c r="B677" s="357">
        <f t="shared" ca="1" si="297"/>
        <v>22.299999999999986</v>
      </c>
      <c r="C677" s="342"/>
      <c r="D677" s="359">
        <f t="shared" ca="1" si="298"/>
        <v>-0.30474583461712446</v>
      </c>
      <c r="E677" s="360">
        <f t="shared" ca="1" si="299"/>
        <v>-9.8307611095792176</v>
      </c>
      <c r="F677" s="357">
        <f t="shared" ca="1" si="300"/>
        <v>9.8354834155384392</v>
      </c>
      <c r="G677" s="359">
        <f t="shared" ca="1" si="301"/>
        <v>38.512513616748379</v>
      </c>
      <c r="H677" s="360">
        <f t="shared" ca="1" si="302"/>
        <v>1.6427028518303659</v>
      </c>
      <c r="I677" s="357">
        <f t="shared" ca="1" si="303"/>
        <v>38.547531409153052</v>
      </c>
      <c r="J677" s="359">
        <f t="shared" ca="1" si="304"/>
        <v>960.38975620135739</v>
      </c>
      <c r="K677" s="360">
        <f t="shared" ca="1" si="305"/>
        <v>2493.1921412247634</v>
      </c>
      <c r="L677" s="357">
        <f t="shared" ca="1" si="290"/>
        <v>2671.770113030203</v>
      </c>
      <c r="M677" s="359">
        <f t="shared" ca="1" si="306"/>
        <v>4.2627903792121453E-2</v>
      </c>
      <c r="N677" s="357">
        <f t="shared" ca="1" si="307"/>
        <v>2.4423989767782768</v>
      </c>
      <c r="O677" s="343"/>
      <c r="P677" s="363">
        <f t="shared" ca="1" si="308"/>
        <v>23</v>
      </c>
      <c r="Q677" s="357">
        <f t="shared" ca="1" si="309"/>
        <v>0</v>
      </c>
      <c r="R677" s="359">
        <f t="shared" ca="1" si="310"/>
        <v>0</v>
      </c>
      <c r="S677" s="360">
        <f t="shared" ca="1" si="311"/>
        <v>10.637999999999975</v>
      </c>
      <c r="T677" s="357">
        <f t="shared" ca="1" si="291"/>
        <v>104.35877999999975</v>
      </c>
      <c r="U677" s="364">
        <f t="shared" ca="1" si="292"/>
        <v>0</v>
      </c>
      <c r="V677" s="359">
        <f t="shared" ca="1" si="293"/>
        <v>0.9534369107039482</v>
      </c>
      <c r="W677" s="357">
        <f t="shared" ca="1" si="294"/>
        <v>3.2350816446249895</v>
      </c>
      <c r="X677" s="343"/>
      <c r="Y677" s="367" t="str">
        <f t="shared" ca="1" si="312"/>
        <v/>
      </c>
      <c r="Z677" s="368" t="str">
        <f t="shared" ca="1" si="313"/>
        <v/>
      </c>
      <c r="AA677" s="369" t="str">
        <f t="shared" ca="1" si="314"/>
        <v/>
      </c>
      <c r="AB677" s="344"/>
      <c r="AC677" s="363" t="e">
        <f t="shared" ca="1" si="315"/>
        <v>#N/A</v>
      </c>
      <c r="AD677" s="376" t="e">
        <f t="shared" ca="1" si="316"/>
        <v>#N/A</v>
      </c>
      <c r="AE677" s="377" t="e">
        <f t="shared" ca="1" si="295"/>
        <v>#N/A</v>
      </c>
      <c r="AF677" s="344"/>
      <c r="AG677" s="359">
        <f t="shared" ca="1" si="317"/>
        <v>-0.97222259627891572</v>
      </c>
      <c r="AH677" s="357">
        <f t="shared" ca="1" si="318"/>
        <v>-0.30545220147749469</v>
      </c>
    </row>
    <row r="678" spans="1:34" x14ac:dyDescent="0.25">
      <c r="A678" s="402">
        <f t="shared" ca="1" si="296"/>
        <v>0.1</v>
      </c>
      <c r="B678" s="357">
        <f t="shared" ca="1" si="297"/>
        <v>22.399999999999988</v>
      </c>
      <c r="C678" s="342"/>
      <c r="D678" s="359">
        <f t="shared" ca="1" si="298"/>
        <v>-0.30382992992117552</v>
      </c>
      <c r="E678" s="360">
        <f t="shared" ca="1" si="299"/>
        <v>-9.8229594836971614</v>
      </c>
      <c r="F678" s="357">
        <f t="shared" ca="1" si="300"/>
        <v>9.8276571798507462</v>
      </c>
      <c r="G678" s="359">
        <f t="shared" ca="1" si="301"/>
        <v>38.482130623756262</v>
      </c>
      <c r="H678" s="360">
        <f t="shared" ca="1" si="302"/>
        <v>0.66040690346064967</v>
      </c>
      <c r="I678" s="357">
        <f t="shared" ca="1" si="303"/>
        <v>38.487796957243191</v>
      </c>
      <c r="J678" s="359">
        <f t="shared" ca="1" si="304"/>
        <v>964.23948841338267</v>
      </c>
      <c r="K678" s="360">
        <f t="shared" ca="1" si="305"/>
        <v>2493.3072967125281</v>
      </c>
      <c r="L678" s="357">
        <f t="shared" ca="1" si="290"/>
        <v>2673.2637480906437</v>
      </c>
      <c r="M678" s="359">
        <f t="shared" ca="1" si="306"/>
        <v>1.7159706890638421E-2</v>
      </c>
      <c r="N678" s="357">
        <f t="shared" ca="1" si="307"/>
        <v>0.98317878251513835</v>
      </c>
      <c r="O678" s="343"/>
      <c r="P678" s="363">
        <f t="shared" ca="1" si="308"/>
        <v>23</v>
      </c>
      <c r="Q678" s="357">
        <f t="shared" ca="1" si="309"/>
        <v>0</v>
      </c>
      <c r="R678" s="359">
        <f t="shared" ca="1" si="310"/>
        <v>0</v>
      </c>
      <c r="S678" s="360">
        <f t="shared" ca="1" si="311"/>
        <v>10.637999999999975</v>
      </c>
      <c r="T678" s="357">
        <f t="shared" ca="1" si="291"/>
        <v>104.35877999999975</v>
      </c>
      <c r="U678" s="364">
        <f t="shared" ca="1" si="292"/>
        <v>0</v>
      </c>
      <c r="V678" s="359">
        <f t="shared" ca="1" si="293"/>
        <v>0.95342575809923324</v>
      </c>
      <c r="W678" s="357">
        <f t="shared" ca="1" si="294"/>
        <v>3.2250253228020096</v>
      </c>
      <c r="X678" s="343"/>
      <c r="Y678" s="367" t="str">
        <f t="shared" ca="1" si="312"/>
        <v>Apogée</v>
      </c>
      <c r="Z678" s="368" t="str">
        <f t="shared" ca="1" si="313"/>
        <v/>
      </c>
      <c r="AA678" s="369" t="str">
        <f t="shared" ca="1" si="314"/>
        <v/>
      </c>
      <c r="AB678" s="344"/>
      <c r="AC678" s="363" t="e">
        <f t="shared" ca="1" si="315"/>
        <v>#N/A</v>
      </c>
      <c r="AD678" s="376" t="e">
        <f t="shared" ca="1" si="316"/>
        <v>#N/A</v>
      </c>
      <c r="AE678" s="377" t="e">
        <f t="shared" ca="1" si="295"/>
        <v>#N/A</v>
      </c>
      <c r="AF678" s="344"/>
      <c r="AG678" s="359">
        <f t="shared" ca="1" si="317"/>
        <v>-0.7221592888809083</v>
      </c>
      <c r="AH678" s="357">
        <f t="shared" ca="1" si="318"/>
        <v>-0.30410618956805763</v>
      </c>
    </row>
    <row r="679" spans="1:34" x14ac:dyDescent="0.25">
      <c r="A679" s="402">
        <f t="shared" ca="1" si="296"/>
        <v>0.1</v>
      </c>
      <c r="B679" s="357">
        <f t="shared" ca="1" si="297"/>
        <v>22.499999999999989</v>
      </c>
      <c r="C679" s="342"/>
      <c r="D679" s="359">
        <f t="shared" ca="1" si="298"/>
        <v>-0.30311623624416811</v>
      </c>
      <c r="E679" s="360">
        <f t="shared" ca="1" si="299"/>
        <v>-9.8152018963535017</v>
      </c>
      <c r="F679" s="357">
        <f t="shared" ca="1" si="300"/>
        <v>9.8198812476962374</v>
      </c>
      <c r="G679" s="359">
        <f t="shared" ca="1" si="301"/>
        <v>38.451819000131849</v>
      </c>
      <c r="H679" s="360">
        <f t="shared" ca="1" si="302"/>
        <v>-0.32111328617470059</v>
      </c>
      <c r="I679" s="357">
        <f t="shared" ca="1" si="303"/>
        <v>38.453159794241337</v>
      </c>
      <c r="J679" s="359">
        <f t="shared" ca="1" si="304"/>
        <v>968.08618589457706</v>
      </c>
      <c r="K679" s="360">
        <f t="shared" ca="1" si="305"/>
        <v>2493.3242613933926</v>
      </c>
      <c r="L679" s="357">
        <f t="shared" ca="1" si="290"/>
        <v>2674.6694629005683</v>
      </c>
      <c r="M679" s="359">
        <f t="shared" ca="1" si="306"/>
        <v>-8.3508616759633454E-3</v>
      </c>
      <c r="N679" s="357">
        <f t="shared" ca="1" si="307"/>
        <v>-0.47846912933024494</v>
      </c>
      <c r="O679" s="343"/>
      <c r="P679" s="363">
        <f t="shared" ca="1" si="308"/>
        <v>23</v>
      </c>
      <c r="Q679" s="357">
        <f t="shared" ca="1" si="309"/>
        <v>0</v>
      </c>
      <c r="R679" s="359">
        <f t="shared" ca="1" si="310"/>
        <v>0</v>
      </c>
      <c r="S679" s="360">
        <f t="shared" ca="1" si="311"/>
        <v>10.637999999999975</v>
      </c>
      <c r="T679" s="357">
        <f t="shared" ca="1" si="291"/>
        <v>104.35877999999975</v>
      </c>
      <c r="U679" s="364">
        <f t="shared" ca="1" si="292"/>
        <v>0</v>
      </c>
      <c r="V679" s="359">
        <f t="shared" ca="1" si="293"/>
        <v>0.95342411510963598</v>
      </c>
      <c r="W679" s="357">
        <f t="shared" ca="1" si="294"/>
        <v>3.219217652439589</v>
      </c>
      <c r="X679" s="343"/>
      <c r="Y679" s="367" t="str">
        <f t="shared" ca="1" si="312"/>
        <v/>
      </c>
      <c r="Z679" s="368" t="str">
        <f t="shared" ca="1" si="313"/>
        <v/>
      </c>
      <c r="AA679" s="369" t="str">
        <f t="shared" ca="1" si="314"/>
        <v/>
      </c>
      <c r="AB679" s="344"/>
      <c r="AC679" s="363" t="e">
        <f t="shared" ca="1" si="315"/>
        <v>#N/A</v>
      </c>
      <c r="AD679" s="376" t="e">
        <f t="shared" ca="1" si="316"/>
        <v>#N/A</v>
      </c>
      <c r="AE679" s="377" t="e">
        <f t="shared" ca="1" si="295"/>
        <v>#N/A</v>
      </c>
      <c r="AF679" s="344"/>
      <c r="AG679" s="359">
        <f t="shared" ca="1" si="317"/>
        <v>-0.47148933228630185</v>
      </c>
      <c r="AH679" s="357">
        <f t="shared" ca="1" si="318"/>
        <v>-0.30316086884771737</v>
      </c>
    </row>
    <row r="680" spans="1:34" x14ac:dyDescent="0.25">
      <c r="A680" s="402">
        <f t="shared" ca="1" si="296"/>
        <v>0.1</v>
      </c>
      <c r="B680" s="357">
        <f t="shared" ca="1" si="297"/>
        <v>22.599999999999991</v>
      </c>
      <c r="C680" s="342"/>
      <c r="D680" s="359">
        <f t="shared" ca="1" si="298"/>
        <v>-0.3026043808965112</v>
      </c>
      <c r="E680" s="360">
        <f t="shared" ca="1" si="299"/>
        <v>-9.8074729339290769</v>
      </c>
      <c r="F680" s="357">
        <f t="shared" ca="1" si="300"/>
        <v>9.8121401723115014</v>
      </c>
      <c r="G680" s="359">
        <f t="shared" ca="1" si="301"/>
        <v>38.4215585620422</v>
      </c>
      <c r="H680" s="360">
        <f t="shared" ca="1" si="302"/>
        <v>-1.3018605795676084</v>
      </c>
      <c r="I680" s="357">
        <f t="shared" ca="1" si="303"/>
        <v>38.443608094260227</v>
      </c>
      <c r="J680" s="359">
        <f t="shared" ca="1" si="304"/>
        <v>971.92985477268576</v>
      </c>
      <c r="K680" s="360">
        <f t="shared" ca="1" si="305"/>
        <v>2493.2431127001055</v>
      </c>
      <c r="L680" s="357">
        <f t="shared" ca="1" si="290"/>
        <v>2675.9874554311655</v>
      </c>
      <c r="M680" s="359">
        <f t="shared" ca="1" si="306"/>
        <v>-3.3870637995347216E-2</v>
      </c>
      <c r="N680" s="357">
        <f t="shared" ca="1" si="307"/>
        <v>-1.9406446065488427</v>
      </c>
      <c r="O680" s="343"/>
      <c r="P680" s="363">
        <f t="shared" ca="1" si="308"/>
        <v>23</v>
      </c>
      <c r="Q680" s="357">
        <f t="shared" ca="1" si="309"/>
        <v>0</v>
      </c>
      <c r="R680" s="359">
        <f t="shared" ca="1" si="310"/>
        <v>0</v>
      </c>
      <c r="S680" s="360">
        <f t="shared" ca="1" si="311"/>
        <v>10.637999999999975</v>
      </c>
      <c r="T680" s="357">
        <f t="shared" ca="1" si="291"/>
        <v>104.35877999999975</v>
      </c>
      <c r="U680" s="364">
        <f t="shared" ca="1" si="292"/>
        <v>0</v>
      </c>
      <c r="V680" s="359">
        <f t="shared" ca="1" si="293"/>
        <v>0.95343197419289394</v>
      </c>
      <c r="W680" s="357">
        <f t="shared" ca="1" si="294"/>
        <v>3.2176450774673619</v>
      </c>
      <c r="X680" s="343"/>
      <c r="Y680" s="367" t="str">
        <f t="shared" ca="1" si="312"/>
        <v/>
      </c>
      <c r="Z680" s="368" t="str">
        <f t="shared" ca="1" si="313"/>
        <v/>
      </c>
      <c r="AA680" s="369" t="str">
        <f t="shared" ca="1" si="314"/>
        <v/>
      </c>
      <c r="AB680" s="344"/>
      <c r="AC680" s="363" t="e">
        <f t="shared" ca="1" si="315"/>
        <v>#N/A</v>
      </c>
      <c r="AD680" s="376" t="e">
        <f t="shared" ca="1" si="316"/>
        <v>#N/A</v>
      </c>
      <c r="AE680" s="377" t="e">
        <f t="shared" ca="1" si="295"/>
        <v>#N/A</v>
      </c>
      <c r="AF680" s="344"/>
      <c r="AG680" s="359">
        <f t="shared" ca="1" si="317"/>
        <v>-0.22069393166662754</v>
      </c>
      <c r="AH680" s="357">
        <f t="shared" ca="1" si="318"/>
        <v>-0.30261493254743338</v>
      </c>
    </row>
    <row r="681" spans="1:34" x14ac:dyDescent="0.25">
      <c r="A681" s="402">
        <f t="shared" ca="1" si="296"/>
        <v>0.1</v>
      </c>
      <c r="B681" s="357">
        <f t="shared" ca="1" si="297"/>
        <v>22.699999999999992</v>
      </c>
      <c r="C681" s="342"/>
      <c r="D681" s="359">
        <f t="shared" ca="1" si="298"/>
        <v>-0.30229362477223565</v>
      </c>
      <c r="E681" s="360">
        <f t="shared" ca="1" si="299"/>
        <v>-9.7997572048538828</v>
      </c>
      <c r="F681" s="357">
        <f t="shared" ca="1" si="300"/>
        <v>9.8044185299110698</v>
      </c>
      <c r="G681" s="359">
        <f t="shared" ca="1" si="301"/>
        <v>38.391329199564979</v>
      </c>
      <c r="H681" s="360">
        <f t="shared" ca="1" si="302"/>
        <v>-2.2818363000529969</v>
      </c>
      <c r="I681" s="357">
        <f t="shared" ca="1" si="303"/>
        <v>38.459081302204943</v>
      </c>
      <c r="J681" s="359">
        <f t="shared" ca="1" si="304"/>
        <v>975.77049916076612</v>
      </c>
      <c r="K681" s="360">
        <f t="shared" ca="1" si="305"/>
        <v>2493.0639278561243</v>
      </c>
      <c r="L681" s="357">
        <f t="shared" ca="1" si="290"/>
        <v>2677.2179245272241</v>
      </c>
      <c r="M681" s="359">
        <f t="shared" ca="1" si="306"/>
        <v>-5.9366399640192212E-2</v>
      </c>
      <c r="N681" s="357">
        <f t="shared" ca="1" si="307"/>
        <v>-3.4014441442699828</v>
      </c>
      <c r="O681" s="343"/>
      <c r="P681" s="363">
        <f t="shared" ca="1" si="308"/>
        <v>23</v>
      </c>
      <c r="Q681" s="357">
        <f t="shared" ca="1" si="309"/>
        <v>0</v>
      </c>
      <c r="R681" s="359">
        <f t="shared" ca="1" si="310"/>
        <v>0</v>
      </c>
      <c r="S681" s="360">
        <f t="shared" ca="1" si="311"/>
        <v>10.637999999999975</v>
      </c>
      <c r="T681" s="357">
        <f t="shared" ca="1" si="291"/>
        <v>104.35877999999975</v>
      </c>
      <c r="U681" s="364">
        <f t="shared" ca="1" si="292"/>
        <v>0</v>
      </c>
      <c r="V681" s="359">
        <f t="shared" ca="1" si="293"/>
        <v>0.95344932807561389</v>
      </c>
      <c r="W681" s="357">
        <f t="shared" ca="1" si="294"/>
        <v>3.2202943584629362</v>
      </c>
      <c r="X681" s="343"/>
      <c r="Y681" s="367" t="str">
        <f t="shared" ca="1" si="312"/>
        <v/>
      </c>
      <c r="Z681" s="368" t="str">
        <f t="shared" ca="1" si="313"/>
        <v/>
      </c>
      <c r="AA681" s="369" t="str">
        <f t="shared" ca="1" si="314"/>
        <v/>
      </c>
      <c r="AB681" s="344"/>
      <c r="AC681" s="363" t="e">
        <f t="shared" ca="1" si="315"/>
        <v>#N/A</v>
      </c>
      <c r="AD681" s="376" t="e">
        <f t="shared" ca="1" si="316"/>
        <v>#N/A</v>
      </c>
      <c r="AE681" s="377" t="e">
        <f t="shared" ca="1" si="295"/>
        <v>#N/A</v>
      </c>
      <c r="AF681" s="344"/>
      <c r="AG681" s="359">
        <f t="shared" ca="1" si="317"/>
        <v>2.9740324696140075E-2</v>
      </c>
      <c r="AH681" s="357">
        <f t="shared" ca="1" si="318"/>
        <v>-0.30246710636091084</v>
      </c>
    </row>
    <row r="682" spans="1:34" x14ac:dyDescent="0.25">
      <c r="A682" s="402">
        <f t="shared" ca="1" si="296"/>
        <v>0.1</v>
      </c>
      <c r="B682" s="357">
        <f t="shared" ca="1" si="297"/>
        <v>22.799999999999994</v>
      </c>
      <c r="C682" s="342"/>
      <c r="D682" s="359">
        <f t="shared" ca="1" si="298"/>
        <v>-0.30218286063825489</v>
      </c>
      <c r="E682" s="360">
        <f t="shared" ca="1" si="299"/>
        <v>-9.7920393866262376</v>
      </c>
      <c r="F682" s="357">
        <f t="shared" ca="1" si="300"/>
        <v>9.7967009666776637</v>
      </c>
      <c r="G682" s="359">
        <f t="shared" ca="1" si="301"/>
        <v>38.36111091350115</v>
      </c>
      <c r="H682" s="360">
        <f t="shared" ca="1" si="302"/>
        <v>-3.2610402387156205</v>
      </c>
      <c r="I682" s="357">
        <f t="shared" ca="1" si="303"/>
        <v>38.499470307479029</v>
      </c>
      <c r="J682" s="359">
        <f t="shared" ca="1" si="304"/>
        <v>979.60812116641944</v>
      </c>
      <c r="K682" s="360">
        <f t="shared" ca="1" si="305"/>
        <v>2492.786784029186</v>
      </c>
      <c r="L682" s="357">
        <f t="shared" ca="1" si="290"/>
        <v>2678.3610700735953</v>
      </c>
      <c r="M682" s="359">
        <f t="shared" ca="1" si="306"/>
        <v>-8.4805124478919885E-2</v>
      </c>
      <c r="N682" s="357">
        <f t="shared" ca="1" si="307"/>
        <v>-4.8589757137236944</v>
      </c>
      <c r="O682" s="343"/>
      <c r="P682" s="363">
        <f t="shared" ca="1" si="308"/>
        <v>23</v>
      </c>
      <c r="Q682" s="357">
        <f t="shared" ca="1" si="309"/>
        <v>0</v>
      </c>
      <c r="R682" s="359">
        <f t="shared" ca="1" si="310"/>
        <v>0</v>
      </c>
      <c r="S682" s="360">
        <f t="shared" ca="1" si="311"/>
        <v>10.637999999999975</v>
      </c>
      <c r="T682" s="357">
        <f t="shared" ca="1" si="291"/>
        <v>104.35877999999975</v>
      </c>
      <c r="U682" s="364">
        <f t="shared" ca="1" si="292"/>
        <v>0</v>
      </c>
      <c r="V682" s="359">
        <f t="shared" ca="1" si="293"/>
        <v>0.9534761697377595</v>
      </c>
      <c r="W682" s="357">
        <f t="shared" ca="1" si="294"/>
        <v>3.2271525442094635</v>
      </c>
      <c r="X682" s="343"/>
      <c r="Y682" s="367" t="str">
        <f t="shared" ca="1" si="312"/>
        <v/>
      </c>
      <c r="Z682" s="368" t="str">
        <f t="shared" ca="1" si="313"/>
        <v/>
      </c>
      <c r="AA682" s="369" t="str">
        <f t="shared" ca="1" si="314"/>
        <v/>
      </c>
      <c r="AB682" s="344"/>
      <c r="AC682" s="363" t="e">
        <f t="shared" ca="1" si="315"/>
        <v>#N/A</v>
      </c>
      <c r="AD682" s="376" t="e">
        <f t="shared" ca="1" si="316"/>
        <v>#N/A</v>
      </c>
      <c r="AE682" s="377" t="e">
        <f t="shared" ca="1" si="295"/>
        <v>#N/A</v>
      </c>
      <c r="AF682" s="344"/>
      <c r="AG682" s="359">
        <f t="shared" ca="1" si="317"/>
        <v>0.27932620538460495</v>
      </c>
      <c r="AH682" s="357">
        <f t="shared" ca="1" si="318"/>
        <v>-0.30271614574759764</v>
      </c>
    </row>
    <row r="683" spans="1:34" x14ac:dyDescent="0.25">
      <c r="A683" s="402">
        <f t="shared" ca="1" si="296"/>
        <v>0.1</v>
      </c>
      <c r="B683" s="357">
        <f t="shared" ca="1" si="297"/>
        <v>22.899999999999995</v>
      </c>
      <c r="C683" s="342"/>
      <c r="D683" s="359">
        <f t="shared" ca="1" si="298"/>
        <v>-0.30227061511546982</v>
      </c>
      <c r="E683" s="360">
        <f t="shared" ca="1" si="299"/>
        <v>-9.7843042728586376</v>
      </c>
      <c r="F683" s="357">
        <f t="shared" ca="1" si="300"/>
        <v>9.7889722457795383</v>
      </c>
      <c r="G683" s="359">
        <f t="shared" ca="1" si="301"/>
        <v>38.330883851989604</v>
      </c>
      <c r="H683" s="360">
        <f t="shared" ca="1" si="302"/>
        <v>-4.239470666001484</v>
      </c>
      <c r="I683" s="357">
        <f t="shared" ca="1" si="303"/>
        <v>38.564618089676507</v>
      </c>
      <c r="J683" s="359">
        <f t="shared" ca="1" si="304"/>
        <v>983.44272090469394</v>
      </c>
      <c r="K683" s="360">
        <f t="shared" ca="1" si="305"/>
        <v>2492.4117584839501</v>
      </c>
      <c r="L683" s="357">
        <f t="shared" ca="1" si="290"/>
        <v>2679.4170931621461</v>
      </c>
      <c r="M683" s="359">
        <f t="shared" ca="1" si="306"/>
        <v>-0.11015424557639721</v>
      </c>
      <c r="N683" s="357">
        <f t="shared" ca="1" si="307"/>
        <v>-6.3113733669751779</v>
      </c>
      <c r="O683" s="343"/>
      <c r="P683" s="363">
        <f t="shared" ca="1" si="308"/>
        <v>23</v>
      </c>
      <c r="Q683" s="357">
        <f t="shared" ca="1" si="309"/>
        <v>0</v>
      </c>
      <c r="R683" s="359">
        <f t="shared" ca="1" si="310"/>
        <v>0</v>
      </c>
      <c r="S683" s="360">
        <f t="shared" ca="1" si="311"/>
        <v>10.637999999999975</v>
      </c>
      <c r="T683" s="357">
        <f t="shared" ca="1" si="291"/>
        <v>104.35877999999975</v>
      </c>
      <c r="U683" s="364">
        <f t="shared" ca="1" si="292"/>
        <v>0</v>
      </c>
      <c r="V683" s="359">
        <f t="shared" ca="1" si="293"/>
        <v>0.95351249239724634</v>
      </c>
      <c r="W683" s="357">
        <f t="shared" ca="1" si="294"/>
        <v>3.2382069435723544</v>
      </c>
      <c r="X683" s="343"/>
      <c r="Y683" s="367" t="str">
        <f t="shared" ca="1" si="312"/>
        <v/>
      </c>
      <c r="Z683" s="368" t="str">
        <f t="shared" ca="1" si="313"/>
        <v/>
      </c>
      <c r="AA683" s="369" t="str">
        <f t="shared" ca="1" si="314"/>
        <v/>
      </c>
      <c r="AB683" s="344"/>
      <c r="AC683" s="363" t="e">
        <f t="shared" ca="1" si="315"/>
        <v>#N/A</v>
      </c>
      <c r="AD683" s="376" t="e">
        <f t="shared" ca="1" si="316"/>
        <v>#N/A</v>
      </c>
      <c r="AE683" s="377" t="e">
        <f t="shared" ca="1" si="295"/>
        <v>#N/A</v>
      </c>
      <c r="AF683" s="344"/>
      <c r="AG683" s="359">
        <f t="shared" ca="1" si="317"/>
        <v>0.52758059233211452</v>
      </c>
      <c r="AH683" s="357">
        <f t="shared" ca="1" si="318"/>
        <v>-0.30336083325902152</v>
      </c>
    </row>
    <row r="684" spans="1:34" x14ac:dyDescent="0.25">
      <c r="A684" s="402">
        <f t="shared" ca="1" si="296"/>
        <v>0.1</v>
      </c>
      <c r="B684" s="357">
        <f t="shared" ca="1" si="297"/>
        <v>22.999999999999996</v>
      </c>
      <c r="C684" s="342"/>
      <c r="D684" s="359">
        <f t="shared" ca="1" si="298"/>
        <v>-0.30255505431046853</v>
      </c>
      <c r="E684" s="360">
        <f t="shared" ca="1" si="299"/>
        <v>-9.7765368196947247</v>
      </c>
      <c r="F684" s="357">
        <f t="shared" ca="1" si="300"/>
        <v>9.781217293759271</v>
      </c>
      <c r="G684" s="359">
        <f t="shared" ca="1" si="301"/>
        <v>38.300628346558554</v>
      </c>
      <c r="H684" s="360">
        <f t="shared" ca="1" si="302"/>
        <v>-5.217124347970957</v>
      </c>
      <c r="I684" s="357">
        <f t="shared" ca="1" si="303"/>
        <v>38.654320821913245</v>
      </c>
      <c r="J684" s="359">
        <f t="shared" ca="1" si="304"/>
        <v>987.27429651462137</v>
      </c>
      <c r="K684" s="360">
        <f t="shared" ca="1" si="305"/>
        <v>2491.9389287332515</v>
      </c>
      <c r="L684" s="357">
        <f t="shared" ca="1" si="290"/>
        <v>2680.3861962587903</v>
      </c>
      <c r="M684" s="359">
        <f t="shared" ca="1" si="306"/>
        <v>-0.13538189730329872</v>
      </c>
      <c r="N684" s="357">
        <f t="shared" ca="1" si="307"/>
        <v>-7.7568113379525574</v>
      </c>
      <c r="O684" s="343"/>
      <c r="P684" s="363">
        <f t="shared" ca="1" si="308"/>
        <v>23</v>
      </c>
      <c r="Q684" s="357">
        <f t="shared" ca="1" si="309"/>
        <v>0</v>
      </c>
      <c r="R684" s="359">
        <f t="shared" ca="1" si="310"/>
        <v>0</v>
      </c>
      <c r="S684" s="360">
        <f t="shared" ca="1" si="311"/>
        <v>10.637999999999975</v>
      </c>
      <c r="T684" s="357">
        <f t="shared" ca="1" si="291"/>
        <v>104.35877999999975</v>
      </c>
      <c r="U684" s="364">
        <f t="shared" ca="1" si="292"/>
        <v>0</v>
      </c>
      <c r="V684" s="359">
        <f t="shared" ca="1" si="293"/>
        <v>0.95355828949468369</v>
      </c>
      <c r="W684" s="357">
        <f t="shared" ca="1" si="294"/>
        <v>3.2534450977655811</v>
      </c>
      <c r="X684" s="343"/>
      <c r="Y684" s="367" t="str">
        <f t="shared" ca="1" si="312"/>
        <v/>
      </c>
      <c r="Z684" s="368" t="str">
        <f t="shared" ca="1" si="313"/>
        <v/>
      </c>
      <c r="AA684" s="369" t="str">
        <f t="shared" ca="1" si="314"/>
        <v/>
      </c>
      <c r="AB684" s="344"/>
      <c r="AC684" s="363">
        <f t="shared" ca="1" si="315"/>
        <v>22.999999999999996</v>
      </c>
      <c r="AD684" s="376">
        <f t="shared" ca="1" si="316"/>
        <v>987.27429651462137</v>
      </c>
      <c r="AE684" s="377" t="e">
        <f t="shared" ca="1" si="295"/>
        <v>#N/A</v>
      </c>
      <c r="AF684" s="344"/>
      <c r="AG684" s="359">
        <f t="shared" ca="1" si="317"/>
        <v>0.77402914628014763</v>
      </c>
      <c r="AH684" s="357">
        <f t="shared" ca="1" si="318"/>
        <v>-0.30439997589512707</v>
      </c>
    </row>
    <row r="685" spans="1:34" x14ac:dyDescent="0.25">
      <c r="A685" s="402">
        <f t="shared" ca="1" si="296"/>
        <v>0.1</v>
      </c>
      <c r="B685" s="357">
        <f t="shared" ca="1" si="297"/>
        <v>23.099999999999998</v>
      </c>
      <c r="C685" s="342"/>
      <c r="D685" s="359">
        <f t="shared" ca="1" si="298"/>
        <v>-0.30303399297449962</v>
      </c>
      <c r="E685" s="360">
        <f t="shared" ca="1" si="299"/>
        <v>-9.7687221909597692</v>
      </c>
      <c r="F685" s="357">
        <f t="shared" ca="1" si="300"/>
        <v>9.7734212456564009</v>
      </c>
      <c r="G685" s="359">
        <f t="shared" ca="1" si="301"/>
        <v>38.270324947261102</v>
      </c>
      <c r="H685" s="360">
        <f t="shared" ca="1" si="302"/>
        <v>-6.1939965670669341</v>
      </c>
      <c r="I685" s="357">
        <f t="shared" ca="1" si="303"/>
        <v>38.768329407414406</v>
      </c>
      <c r="J685" s="359">
        <f t="shared" ca="1" si="304"/>
        <v>991.10284417931234</v>
      </c>
      <c r="K685" s="360">
        <f t="shared" ca="1" si="305"/>
        <v>2491.3683726874997</v>
      </c>
      <c r="L685" s="357">
        <f t="shared" ca="1" si="290"/>
        <v>2681.2685833701707</v>
      </c>
      <c r="M685" s="359">
        <f t="shared" ca="1" si="306"/>
        <v>-0.16045714808684233</v>
      </c>
      <c r="N685" s="357">
        <f t="shared" ca="1" si="307"/>
        <v>-9.193517378081717</v>
      </c>
      <c r="O685" s="343"/>
      <c r="P685" s="363">
        <f t="shared" ca="1" si="308"/>
        <v>23</v>
      </c>
      <c r="Q685" s="357">
        <f t="shared" ca="1" si="309"/>
        <v>0</v>
      </c>
      <c r="R685" s="359">
        <f t="shared" ca="1" si="310"/>
        <v>0</v>
      </c>
      <c r="S685" s="360">
        <f t="shared" ca="1" si="311"/>
        <v>10.637999999999975</v>
      </c>
      <c r="T685" s="357">
        <f t="shared" ca="1" si="291"/>
        <v>104.35877999999975</v>
      </c>
      <c r="U685" s="364">
        <f t="shared" ca="1" si="292"/>
        <v>0</v>
      </c>
      <c r="V685" s="359">
        <f t="shared" ca="1" si="293"/>
        <v>0.95361355467830877</v>
      </c>
      <c r="W685" s="357">
        <f t="shared" ca="1" si="294"/>
        <v>3.272854753076452</v>
      </c>
      <c r="X685" s="343"/>
      <c r="Y685" s="367" t="str">
        <f t="shared" ca="1" si="312"/>
        <v/>
      </c>
      <c r="Z685" s="368" t="str">
        <f t="shared" ca="1" si="313"/>
        <v/>
      </c>
      <c r="AA685" s="369" t="str">
        <f t="shared" ca="1" si="314"/>
        <v/>
      </c>
      <c r="AB685" s="344"/>
      <c r="AC685" s="363" t="e">
        <f t="shared" ca="1" si="315"/>
        <v>#N/A</v>
      </c>
      <c r="AD685" s="376" t="e">
        <f t="shared" ca="1" si="316"/>
        <v>#N/A</v>
      </c>
      <c r="AE685" s="377" t="e">
        <f t="shared" ca="1" si="295"/>
        <v>#N/A</v>
      </c>
      <c r="AF685" s="344"/>
      <c r="AG685" s="359">
        <f t="shared" ca="1" si="317"/>
        <v>1.0182107772908573</v>
      </c>
      <c r="AH685" s="357">
        <f t="shared" ca="1" si="318"/>
        <v>-0.30583240249723526</v>
      </c>
    </row>
    <row r="686" spans="1:34" x14ac:dyDescent="0.25">
      <c r="A686" s="402">
        <f t="shared" ca="1" si="296"/>
        <v>0.1</v>
      </c>
      <c r="B686" s="357">
        <f t="shared" ca="1" si="297"/>
        <v>23.2</v>
      </c>
      <c r="C686" s="342"/>
      <c r="D686" s="359">
        <f t="shared" ca="1" si="298"/>
        <v>-0.3037049069891215</v>
      </c>
      <c r="E686" s="360">
        <f t="shared" ca="1" si="299"/>
        <v>-9.7608458014431729</v>
      </c>
      <c r="F686" s="357">
        <f t="shared" ca="1" si="300"/>
        <v>9.7655694882623258</v>
      </c>
      <c r="G686" s="359">
        <f t="shared" ca="1" si="301"/>
        <v>38.239954456562188</v>
      </c>
      <c r="H686" s="360">
        <f t="shared" ca="1" si="302"/>
        <v>-7.1700811472112518</v>
      </c>
      <c r="I686" s="357">
        <f t="shared" ca="1" si="303"/>
        <v>38.906351415900524</v>
      </c>
      <c r="J686" s="359">
        <f t="shared" ca="1" si="304"/>
        <v>994.92835814950354</v>
      </c>
      <c r="K686" s="360">
        <f t="shared" ca="1" si="305"/>
        <v>2490.7001688017858</v>
      </c>
      <c r="L686" s="357">
        <f t="shared" ca="1" si="290"/>
        <v>2682.0644602095808</v>
      </c>
      <c r="M686" s="359">
        <f t="shared" ca="1" si="306"/>
        <v>-0.18535021570469123</v>
      </c>
      <c r="N686" s="357">
        <f t="shared" ca="1" si="307"/>
        <v>-10.619785091718237</v>
      </c>
      <c r="O686" s="343"/>
      <c r="P686" s="363">
        <f t="shared" ca="1" si="308"/>
        <v>23</v>
      </c>
      <c r="Q686" s="357">
        <f t="shared" ca="1" si="309"/>
        <v>0</v>
      </c>
      <c r="R686" s="359">
        <f t="shared" ca="1" si="310"/>
        <v>0</v>
      </c>
      <c r="S686" s="360">
        <f t="shared" ca="1" si="311"/>
        <v>10.637999999999975</v>
      </c>
      <c r="T686" s="357">
        <f t="shared" ca="1" si="291"/>
        <v>104.35877999999975</v>
      </c>
      <c r="U686" s="364">
        <f t="shared" ca="1" si="292"/>
        <v>0</v>
      </c>
      <c r="V686" s="359">
        <f t="shared" ca="1" si="293"/>
        <v>0.95367828178914926</v>
      </c>
      <c r="W686" s="357">
        <f t="shared" ca="1" si="294"/>
        <v>3.2964238341151764</v>
      </c>
      <c r="X686" s="343"/>
      <c r="Y686" s="367" t="str">
        <f t="shared" ca="1" si="312"/>
        <v/>
      </c>
      <c r="Z686" s="368" t="str">
        <f t="shared" ca="1" si="313"/>
        <v/>
      </c>
      <c r="AA686" s="369" t="str">
        <f t="shared" ca="1" si="314"/>
        <v/>
      </c>
      <c r="AB686" s="344"/>
      <c r="AC686" s="363" t="e">
        <f t="shared" ca="1" si="315"/>
        <v>#N/A</v>
      </c>
      <c r="AD686" s="376" t="e">
        <f t="shared" ca="1" si="316"/>
        <v>#N/A</v>
      </c>
      <c r="AE686" s="377" t="e">
        <f t="shared" ca="1" si="295"/>
        <v>#N/A</v>
      </c>
      <c r="AF686" s="344"/>
      <c r="AG686" s="359">
        <f t="shared" ca="1" si="317"/>
        <v>1.2596818241519978</v>
      </c>
      <c r="AH686" s="357">
        <f t="shared" ca="1" si="318"/>
        <v>-0.30765696118410035</v>
      </c>
    </row>
    <row r="687" spans="1:34" x14ac:dyDescent="0.25">
      <c r="A687" s="402">
        <f t="shared" ca="1" si="296"/>
        <v>0.1</v>
      </c>
      <c r="B687" s="357">
        <f t="shared" ca="1" si="297"/>
        <v>23.3</v>
      </c>
      <c r="C687" s="342"/>
      <c r="D687" s="359">
        <f t="shared" ca="1" si="298"/>
        <v>-0.30456494890846697</v>
      </c>
      <c r="E687" s="360">
        <f t="shared" ca="1" si="299"/>
        <v>-9.7528933577640498</v>
      </c>
      <c r="F687" s="357">
        <f t="shared" ca="1" si="300"/>
        <v>9.7576477009585538</v>
      </c>
      <c r="G687" s="359">
        <f t="shared" ca="1" si="301"/>
        <v>38.209497961671339</v>
      </c>
      <c r="H687" s="360">
        <f t="shared" ca="1" si="302"/>
        <v>-8.1453704829876568</v>
      </c>
      <c r="I687" s="357">
        <f t="shared" ca="1" si="303"/>
        <v>39.068053378535417</v>
      </c>
      <c r="J687" s="359">
        <f t="shared" ca="1" si="304"/>
        <v>998.75083077041518</v>
      </c>
      <c r="K687" s="360">
        <f t="shared" ca="1" si="305"/>
        <v>2489.9343962202761</v>
      </c>
      <c r="L687" s="357">
        <f t="shared" ca="1" si="290"/>
        <v>2682.7740343617138</v>
      </c>
      <c r="M687" s="359">
        <f t="shared" ca="1" si="306"/>
        <v>-0.21003266162180148</v>
      </c>
      <c r="N687" s="357">
        <f t="shared" ca="1" si="307"/>
        <v>-12.033985070828566</v>
      </c>
      <c r="O687" s="343"/>
      <c r="P687" s="363">
        <f t="shared" ca="1" si="308"/>
        <v>23</v>
      </c>
      <c r="Q687" s="357">
        <f t="shared" ca="1" si="309"/>
        <v>0</v>
      </c>
      <c r="R687" s="359">
        <f t="shared" ca="1" si="310"/>
        <v>0</v>
      </c>
      <c r="S687" s="360">
        <f t="shared" ca="1" si="311"/>
        <v>10.637999999999975</v>
      </c>
      <c r="T687" s="357">
        <f t="shared" ca="1" si="291"/>
        <v>104.35877999999975</v>
      </c>
      <c r="U687" s="364">
        <f t="shared" ca="1" si="292"/>
        <v>0</v>
      </c>
      <c r="V687" s="359">
        <f t="shared" ca="1" si="293"/>
        <v>0.95375246484645515</v>
      </c>
      <c r="W687" s="357">
        <f t="shared" ca="1" si="294"/>
        <v>3.3241404176520839</v>
      </c>
      <c r="X687" s="343"/>
      <c r="Y687" s="367" t="str">
        <f t="shared" ca="1" si="312"/>
        <v/>
      </c>
      <c r="Z687" s="368" t="str">
        <f t="shared" ca="1" si="313"/>
        <v/>
      </c>
      <c r="AA687" s="369" t="str">
        <f t="shared" ca="1" si="314"/>
        <v/>
      </c>
      <c r="AB687" s="344"/>
      <c r="AC687" s="363" t="e">
        <f t="shared" ca="1" si="315"/>
        <v>#N/A</v>
      </c>
      <c r="AD687" s="376" t="e">
        <f t="shared" ca="1" si="316"/>
        <v>#N/A</v>
      </c>
      <c r="AE687" s="377" t="e">
        <f t="shared" ca="1" si="295"/>
        <v>#N/A</v>
      </c>
      <c r="AF687" s="344"/>
      <c r="AG687" s="359">
        <f t="shared" ca="1" si="317"/>
        <v>1.4980198579124946</v>
      </c>
      <c r="AH687" s="357">
        <f t="shared" ca="1" si="318"/>
        <v>-0.30987251683729877</v>
      </c>
    </row>
    <row r="688" spans="1:34" x14ac:dyDescent="0.25">
      <c r="A688" s="402">
        <f t="shared" ca="1" si="296"/>
        <v>0.1</v>
      </c>
      <c r="B688" s="357">
        <f t="shared" ca="1" si="297"/>
        <v>23.400000000000002</v>
      </c>
      <c r="C688" s="342"/>
      <c r="D688" s="359">
        <f t="shared" ca="1" si="298"/>
        <v>-0.30561096622894829</v>
      </c>
      <c r="E688" s="360">
        <f t="shared" ca="1" si="299"/>
        <v>-9.7448508963374589</v>
      </c>
      <c r="F688" s="357">
        <f t="shared" ca="1" si="300"/>
        <v>9.7496418936558058</v>
      </c>
      <c r="G688" s="359">
        <f t="shared" ca="1" si="301"/>
        <v>38.178936865048442</v>
      </c>
      <c r="H688" s="360">
        <f t="shared" ca="1" si="302"/>
        <v>-9.1198555726214021</v>
      </c>
      <c r="I688" s="357">
        <f t="shared" ca="1" si="303"/>
        <v>39.253063393967466</v>
      </c>
      <c r="J688" s="359">
        <f t="shared" ca="1" si="304"/>
        <v>1002.5702525117512</v>
      </c>
      <c r="K688" s="360">
        <f t="shared" ca="1" si="305"/>
        <v>2489.0711349174958</v>
      </c>
      <c r="L688" s="357">
        <f t="shared" ca="1" si="290"/>
        <v>2683.3975154458476</v>
      </c>
      <c r="M688" s="359">
        <f t="shared" ca="1" si="306"/>
        <v>-0.23447756156460264</v>
      </c>
      <c r="N688" s="357">
        <f t="shared" ca="1" si="307"/>
        <v>-13.43457466817066</v>
      </c>
      <c r="O688" s="343"/>
      <c r="P688" s="363">
        <f t="shared" ca="1" si="308"/>
        <v>23</v>
      </c>
      <c r="Q688" s="357">
        <f t="shared" ca="1" si="309"/>
        <v>0</v>
      </c>
      <c r="R688" s="359">
        <f t="shared" ca="1" si="310"/>
        <v>0</v>
      </c>
      <c r="S688" s="360">
        <f t="shared" ca="1" si="311"/>
        <v>10.637999999999975</v>
      </c>
      <c r="T688" s="357">
        <f t="shared" ca="1" si="291"/>
        <v>104.35877999999975</v>
      </c>
      <c r="U688" s="364">
        <f t="shared" ca="1" si="292"/>
        <v>0</v>
      </c>
      <c r="V688" s="359">
        <f t="shared" ca="1" si="293"/>
        <v>0.9538360980334355</v>
      </c>
      <c r="W688" s="357">
        <f t="shared" ca="1" si="294"/>
        <v>3.3559927071009721</v>
      </c>
      <c r="X688" s="343"/>
      <c r="Y688" s="367" t="str">
        <f t="shared" ca="1" si="312"/>
        <v/>
      </c>
      <c r="Z688" s="368" t="str">
        <f t="shared" ca="1" si="313"/>
        <v/>
      </c>
      <c r="AA688" s="369" t="str">
        <f t="shared" ca="1" si="314"/>
        <v/>
      </c>
      <c r="AB688" s="344"/>
      <c r="AC688" s="363" t="e">
        <f t="shared" ca="1" si="315"/>
        <v>#N/A</v>
      </c>
      <c r="AD688" s="376" t="e">
        <f t="shared" ca="1" si="316"/>
        <v>#N/A</v>
      </c>
      <c r="AE688" s="377" t="e">
        <f t="shared" ca="1" si="295"/>
        <v>#N/A</v>
      </c>
      <c r="AF688" s="344"/>
      <c r="AG688" s="359">
        <f t="shared" ca="1" si="317"/>
        <v>1.7328270391416007</v>
      </c>
      <c r="AH688" s="357">
        <f t="shared" ca="1" si="318"/>
        <v>-0.31247794864185857</v>
      </c>
    </row>
    <row r="689" spans="1:34" x14ac:dyDescent="0.25">
      <c r="A689" s="402">
        <f t="shared" ca="1" si="296"/>
        <v>0.1</v>
      </c>
      <c r="B689" s="357">
        <f t="shared" ca="1" si="297"/>
        <v>23.500000000000004</v>
      </c>
      <c r="C689" s="342"/>
      <c r="D689" s="359">
        <f t="shared" ca="1" si="298"/>
        <v>-0.30683952201035558</v>
      </c>
      <c r="E689" s="360">
        <f t="shared" ca="1" si="299"/>
        <v>-9.736704818036241</v>
      </c>
      <c r="F689" s="357">
        <f t="shared" ca="1" si="300"/>
        <v>9.7415384414289363</v>
      </c>
      <c r="G689" s="359">
        <f t="shared" ca="1" si="301"/>
        <v>38.148252912847404</v>
      </c>
      <c r="H689" s="360">
        <f t="shared" ca="1" si="302"/>
        <v>-10.093526054425027</v>
      </c>
      <c r="I689" s="357">
        <f t="shared" ca="1" si="303"/>
        <v>39.460973993477751</v>
      </c>
      <c r="J689" s="359">
        <f t="shared" ca="1" si="304"/>
        <v>1006.386612000646</v>
      </c>
      <c r="K689" s="360">
        <f t="shared" ca="1" si="305"/>
        <v>2488.1104658361432</v>
      </c>
      <c r="L689" s="357">
        <f t="shared" ca="1" si="290"/>
        <v>2683.9351152770978</v>
      </c>
      <c r="M689" s="359">
        <f t="shared" ca="1" si="306"/>
        <v>-0.25865965028217369</v>
      </c>
      <c r="N689" s="357">
        <f t="shared" ca="1" si="307"/>
        <v>-14.820106291498405</v>
      </c>
      <c r="O689" s="343"/>
      <c r="P689" s="363">
        <f t="shared" ca="1" si="308"/>
        <v>23</v>
      </c>
      <c r="Q689" s="357">
        <f t="shared" ca="1" si="309"/>
        <v>0</v>
      </c>
      <c r="R689" s="359">
        <f t="shared" ca="1" si="310"/>
        <v>0</v>
      </c>
      <c r="S689" s="360">
        <f t="shared" ca="1" si="311"/>
        <v>10.637999999999975</v>
      </c>
      <c r="T689" s="357">
        <f t="shared" ca="1" si="291"/>
        <v>104.35877999999975</v>
      </c>
      <c r="U689" s="364">
        <f t="shared" ca="1" si="292"/>
        <v>0</v>
      </c>
      <c r="V689" s="359">
        <f t="shared" ca="1" si="293"/>
        <v>0.95392917568332947</v>
      </c>
      <c r="W689" s="357">
        <f t="shared" ca="1" si="294"/>
        <v>3.3919690077019693</v>
      </c>
      <c r="X689" s="343"/>
      <c r="Y689" s="367" t="str">
        <f t="shared" ca="1" si="312"/>
        <v/>
      </c>
      <c r="Z689" s="368" t="str">
        <f t="shared" ca="1" si="313"/>
        <v/>
      </c>
      <c r="AA689" s="369" t="str">
        <f t="shared" ca="1" si="314"/>
        <v/>
      </c>
      <c r="AB689" s="344"/>
      <c r="AC689" s="363" t="e">
        <f t="shared" ca="1" si="315"/>
        <v>#N/A</v>
      </c>
      <c r="AD689" s="376" t="e">
        <f t="shared" ca="1" si="316"/>
        <v>#N/A</v>
      </c>
      <c r="AE689" s="377" t="e">
        <f t="shared" ca="1" si="295"/>
        <v>#N/A</v>
      </c>
      <c r="AF689" s="344"/>
      <c r="AG689" s="359">
        <f t="shared" ca="1" si="317"/>
        <v>1.963732974966961</v>
      </c>
      <c r="AH689" s="357">
        <f t="shared" ca="1" si="318"/>
        <v>-0.31547214768762738</v>
      </c>
    </row>
    <row r="690" spans="1:34" x14ac:dyDescent="0.25">
      <c r="A690" s="402">
        <f t="shared" ca="1" si="296"/>
        <v>0.1</v>
      </c>
      <c r="B690" s="357">
        <f t="shared" ca="1" si="297"/>
        <v>23.600000000000005</v>
      </c>
      <c r="C690" s="342"/>
      <c r="D690" s="359">
        <f t="shared" ca="1" si="298"/>
        <v>-0.30824691743889632</v>
      </c>
      <c r="E690" s="360">
        <f t="shared" ca="1" si="299"/>
        <v>-9.7284419192282883</v>
      </c>
      <c r="F690" s="357">
        <f t="shared" ca="1" si="300"/>
        <v>9.7333241155274788</v>
      </c>
      <c r="G690" s="359">
        <f t="shared" ca="1" si="301"/>
        <v>38.117428221103516</v>
      </c>
      <c r="H690" s="360">
        <f t="shared" ca="1" si="302"/>
        <v>-11.066370246347855</v>
      </c>
      <c r="I690" s="357">
        <f t="shared" ca="1" si="303"/>
        <v>39.691345210514491</v>
      </c>
      <c r="J690" s="359">
        <f t="shared" ca="1" si="304"/>
        <v>1010.1998960573435</v>
      </c>
      <c r="K690" s="360">
        <f t="shared" ca="1" si="305"/>
        <v>2487.0524710211048</v>
      </c>
      <c r="L690" s="357">
        <f t="shared" ca="1" si="290"/>
        <v>2684.3870480253868</v>
      </c>
      <c r="M690" s="359">
        <f t="shared" ca="1" si="306"/>
        <v>-0.28255543922305804</v>
      </c>
      <c r="N690" s="357">
        <f t="shared" ca="1" si="307"/>
        <v>-16.189234145946465</v>
      </c>
      <c r="O690" s="343"/>
      <c r="P690" s="363">
        <f t="shared" ca="1" si="308"/>
        <v>23</v>
      </c>
      <c r="Q690" s="357">
        <f t="shared" ca="1" si="309"/>
        <v>0</v>
      </c>
      <c r="R690" s="359">
        <f t="shared" ca="1" si="310"/>
        <v>0</v>
      </c>
      <c r="S690" s="360">
        <f t="shared" ca="1" si="311"/>
        <v>10.637999999999975</v>
      </c>
      <c r="T690" s="357">
        <f t="shared" ca="1" si="291"/>
        <v>104.35877999999975</v>
      </c>
      <c r="U690" s="364">
        <f t="shared" ca="1" si="292"/>
        <v>0</v>
      </c>
      <c r="V690" s="359">
        <f t="shared" ca="1" si="293"/>
        <v>0.95403169226584661</v>
      </c>
      <c r="W690" s="357">
        <f t="shared" ca="1" si="294"/>
        <v>3.4320577024517398</v>
      </c>
      <c r="X690" s="343"/>
      <c r="Y690" s="367" t="str">
        <f t="shared" ca="1" si="312"/>
        <v/>
      </c>
      <c r="Z690" s="368" t="str">
        <f t="shared" ca="1" si="313"/>
        <v/>
      </c>
      <c r="AA690" s="369" t="str">
        <f t="shared" ca="1" si="314"/>
        <v/>
      </c>
      <c r="AB690" s="344"/>
      <c r="AC690" s="363" t="e">
        <f t="shared" ca="1" si="315"/>
        <v>#N/A</v>
      </c>
      <c r="AD690" s="376" t="e">
        <f t="shared" ca="1" si="316"/>
        <v>#N/A</v>
      </c>
      <c r="AE690" s="377" t="e">
        <f t="shared" ca="1" si="295"/>
        <v>#N/A</v>
      </c>
      <c r="AF690" s="344"/>
      <c r="AG690" s="359">
        <f t="shared" ca="1" si="317"/>
        <v>2.1903970395893686</v>
      </c>
      <c r="AH690" s="357">
        <f t="shared" ca="1" si="318"/>
        <v>-0.31885401463639568</v>
      </c>
    </row>
    <row r="691" spans="1:34" x14ac:dyDescent="0.25">
      <c r="A691" s="402">
        <f t="shared" ca="1" si="296"/>
        <v>0.1</v>
      </c>
      <c r="B691" s="357">
        <f t="shared" ca="1" si="297"/>
        <v>23.700000000000006</v>
      </c>
      <c r="C691" s="342"/>
      <c r="D691" s="359">
        <f t="shared" ca="1" si="298"/>
        <v>-0.30982921590327378</v>
      </c>
      <c r="E691" s="360">
        <f t="shared" ca="1" si="299"/>
        <v>-9.720049418957835</v>
      </c>
      <c r="F691" s="357">
        <f t="shared" ca="1" si="300"/>
        <v>9.7249861105304305</v>
      </c>
      <c r="G691" s="359">
        <f t="shared" ca="1" si="301"/>
        <v>38.086445299513187</v>
      </c>
      <c r="H691" s="360">
        <f t="shared" ca="1" si="302"/>
        <v>-12.038375188243638</v>
      </c>
      <c r="I691" s="357">
        <f t="shared" ca="1" si="303"/>
        <v>39.943707798922851</v>
      </c>
      <c r="J691" s="359">
        <f t="shared" ca="1" si="304"/>
        <v>1014.0100897333743</v>
      </c>
      <c r="K691" s="360">
        <f t="shared" ca="1" si="305"/>
        <v>2485.8972337493751</v>
      </c>
      <c r="L691" s="357">
        <f t="shared" ca="1" si="290"/>
        <v>2684.7535303718068</v>
      </c>
      <c r="M691" s="359">
        <f t="shared" ca="1" si="306"/>
        <v>-0.30614330662359862</v>
      </c>
      <c r="N691" s="357">
        <f t="shared" ca="1" si="307"/>
        <v>-17.540719395711662</v>
      </c>
      <c r="O691" s="343"/>
      <c r="P691" s="363">
        <f t="shared" ca="1" si="308"/>
        <v>23</v>
      </c>
      <c r="Q691" s="357">
        <f t="shared" ca="1" si="309"/>
        <v>0</v>
      </c>
      <c r="R691" s="359">
        <f t="shared" ca="1" si="310"/>
        <v>0</v>
      </c>
      <c r="S691" s="360">
        <f t="shared" ca="1" si="311"/>
        <v>10.637999999999975</v>
      </c>
      <c r="T691" s="357">
        <f t="shared" ca="1" si="291"/>
        <v>104.35877999999975</v>
      </c>
      <c r="U691" s="364">
        <f t="shared" ca="1" si="292"/>
        <v>0</v>
      </c>
      <c r="V691" s="359">
        <f t="shared" ca="1" si="293"/>
        <v>0.95414364237399707</v>
      </c>
      <c r="W691" s="357">
        <f t="shared" ca="1" si="294"/>
        <v>3.4762472288226451</v>
      </c>
      <c r="X691" s="343"/>
      <c r="Y691" s="367" t="str">
        <f t="shared" ca="1" si="312"/>
        <v/>
      </c>
      <c r="Z691" s="368" t="str">
        <f t="shared" ca="1" si="313"/>
        <v/>
      </c>
      <c r="AA691" s="369" t="str">
        <f t="shared" ca="1" si="314"/>
        <v/>
      </c>
      <c r="AB691" s="344"/>
      <c r="AC691" s="363" t="e">
        <f t="shared" ca="1" si="315"/>
        <v>#N/A</v>
      </c>
      <c r="AD691" s="376" t="e">
        <f t="shared" ca="1" si="316"/>
        <v>#N/A</v>
      </c>
      <c r="AE691" s="377" t="e">
        <f t="shared" ca="1" si="295"/>
        <v>#N/A</v>
      </c>
      <c r="AF691" s="344"/>
      <c r="AG691" s="359">
        <f t="shared" ca="1" si="317"/>
        <v>2.41251013985854</v>
      </c>
      <c r="AH691" s="357">
        <f t="shared" ca="1" si="318"/>
        <v>-0.32262245745927315</v>
      </c>
    </row>
    <row r="692" spans="1:34" x14ac:dyDescent="0.25">
      <c r="A692" s="402">
        <f t="shared" ca="1" si="296"/>
        <v>0.1</v>
      </c>
      <c r="B692" s="357">
        <f t="shared" ca="1" si="297"/>
        <v>23.800000000000008</v>
      </c>
      <c r="C692" s="342"/>
      <c r="D692" s="359">
        <f t="shared" ca="1" si="298"/>
        <v>-0.31158226814914514</v>
      </c>
      <c r="E692" s="360">
        <f t="shared" ca="1" si="299"/>
        <v>-9.7115149821285307</v>
      </c>
      <c r="F692" s="357">
        <f t="shared" ca="1" si="300"/>
        <v>9.7165120675030234</v>
      </c>
      <c r="G692" s="359">
        <f t="shared" ca="1" si="301"/>
        <v>38.05528707269827</v>
      </c>
      <c r="H692" s="360">
        <f t="shared" ca="1" si="302"/>
        <v>-13.009526686456491</v>
      </c>
      <c r="I692" s="357">
        <f t="shared" ca="1" si="303"/>
        <v>40.217566544870657</v>
      </c>
      <c r="J692" s="359">
        <f t="shared" ca="1" si="304"/>
        <v>1017.8171763519849</v>
      </c>
      <c r="K692" s="360">
        <f t="shared" ca="1" si="305"/>
        <v>2484.6448386556399</v>
      </c>
      <c r="L692" s="357">
        <f t="shared" ca="1" si="290"/>
        <v>2685.0347816620992</v>
      </c>
      <c r="M692" s="359">
        <f t="shared" ca="1" si="306"/>
        <v>-0.32940356022738743</v>
      </c>
      <c r="N692" s="357">
        <f t="shared" ca="1" si="307"/>
        <v>-18.873433757612723</v>
      </c>
      <c r="O692" s="343"/>
      <c r="P692" s="363">
        <f t="shared" ca="1" si="308"/>
        <v>23</v>
      </c>
      <c r="Q692" s="357">
        <f t="shared" ca="1" si="309"/>
        <v>0</v>
      </c>
      <c r="R692" s="359">
        <f t="shared" ca="1" si="310"/>
        <v>0</v>
      </c>
      <c r="S692" s="360">
        <f t="shared" ca="1" si="311"/>
        <v>10.637999999999975</v>
      </c>
      <c r="T692" s="357">
        <f t="shared" ca="1" si="291"/>
        <v>104.35877999999975</v>
      </c>
      <c r="U692" s="364">
        <f t="shared" ca="1" si="292"/>
        <v>0</v>
      </c>
      <c r="V692" s="359">
        <f t="shared" ca="1" si="293"/>
        <v>0.95426502071133978</v>
      </c>
      <c r="W692" s="357">
        <f t="shared" ca="1" si="294"/>
        <v>3.5245260563061902</v>
      </c>
      <c r="X692" s="343"/>
      <c r="Y692" s="367" t="str">
        <f t="shared" ca="1" si="312"/>
        <v/>
      </c>
      <c r="Z692" s="368" t="str">
        <f t="shared" ca="1" si="313"/>
        <v/>
      </c>
      <c r="AA692" s="369" t="str">
        <f t="shared" ca="1" si="314"/>
        <v/>
      </c>
      <c r="AB692" s="344"/>
      <c r="AC692" s="363" t="e">
        <f t="shared" ca="1" si="315"/>
        <v>#N/A</v>
      </c>
      <c r="AD692" s="376" t="e">
        <f t="shared" ca="1" si="316"/>
        <v>#N/A</v>
      </c>
      <c r="AE692" s="377" t="e">
        <f t="shared" ca="1" si="295"/>
        <v>#N/A</v>
      </c>
      <c r="AF692" s="344"/>
      <c r="AG692" s="359">
        <f t="shared" ca="1" si="317"/>
        <v>2.6297959247484894</v>
      </c>
      <c r="AH692" s="357">
        <f t="shared" ca="1" si="318"/>
        <v>-0.32677638924822838</v>
      </c>
    </row>
    <row r="693" spans="1:34" x14ac:dyDescent="0.25">
      <c r="A693" s="402">
        <f t="shared" ca="1" si="296"/>
        <v>0.1</v>
      </c>
      <c r="B693" s="357">
        <f t="shared" ca="1" si="297"/>
        <v>23.900000000000009</v>
      </c>
      <c r="C693" s="342"/>
      <c r="D693" s="359">
        <f t="shared" ca="1" si="298"/>
        <v>-0.31350173808441312</v>
      </c>
      <c r="E693" s="360">
        <f t="shared" ca="1" si="299"/>
        <v>-9.702826738632444</v>
      </c>
      <c r="F693" s="357">
        <f t="shared" ca="1" si="300"/>
        <v>9.7078900930996657</v>
      </c>
      <c r="G693" s="359">
        <f t="shared" ca="1" si="301"/>
        <v>38.023936898889829</v>
      </c>
      <c r="H693" s="360">
        <f t="shared" ca="1" si="302"/>
        <v>-13.979809360319734</v>
      </c>
      <c r="I693" s="357">
        <f t="shared" ca="1" si="303"/>
        <v>40.512403619652567</v>
      </c>
      <c r="J693" s="359">
        <f t="shared" ca="1" si="304"/>
        <v>1021.6211375505643</v>
      </c>
      <c r="K693" s="360">
        <f t="shared" ca="1" si="305"/>
        <v>2483.2953718533013</v>
      </c>
      <c r="L693" s="357">
        <f t="shared" ca="1" si="290"/>
        <v>2685.2310240569868</v>
      </c>
      <c r="M693" s="359">
        <f t="shared" ca="1" si="306"/>
        <v>-0.35231847350921597</v>
      </c>
      <c r="N693" s="357">
        <f t="shared" ca="1" si="307"/>
        <v>-20.186361576569773</v>
      </c>
      <c r="O693" s="343"/>
      <c r="P693" s="363">
        <f t="shared" ca="1" si="308"/>
        <v>23</v>
      </c>
      <c r="Q693" s="357">
        <f t="shared" ca="1" si="309"/>
        <v>0</v>
      </c>
      <c r="R693" s="359">
        <f t="shared" ca="1" si="310"/>
        <v>0</v>
      </c>
      <c r="S693" s="360">
        <f t="shared" ca="1" si="311"/>
        <v>10.637999999999975</v>
      </c>
      <c r="T693" s="357">
        <f t="shared" ca="1" si="291"/>
        <v>104.35877999999975</v>
      </c>
      <c r="U693" s="364">
        <f t="shared" ca="1" si="292"/>
        <v>0</v>
      </c>
      <c r="V693" s="359">
        <f t="shared" ca="1" si="293"/>
        <v>0.95439582207965812</v>
      </c>
      <c r="W693" s="357">
        <f t="shared" ca="1" si="294"/>
        <v>3.576882664809498</v>
      </c>
      <c r="X693" s="343"/>
      <c r="Y693" s="367" t="str">
        <f t="shared" ca="1" si="312"/>
        <v/>
      </c>
      <c r="Z693" s="368" t="str">
        <f t="shared" ca="1" si="313"/>
        <v/>
      </c>
      <c r="AA693" s="369" t="str">
        <f t="shared" ca="1" si="314"/>
        <v/>
      </c>
      <c r="AB693" s="344"/>
      <c r="AC693" s="363" t="e">
        <f t="shared" ca="1" si="315"/>
        <v>#N/A</v>
      </c>
      <c r="AD693" s="376" t="e">
        <f t="shared" ca="1" si="316"/>
        <v>#N/A</v>
      </c>
      <c r="AE693" s="377" t="e">
        <f t="shared" ca="1" si="295"/>
        <v>#N/A</v>
      </c>
      <c r="AF693" s="344"/>
      <c r="AG693" s="359">
        <f t="shared" ca="1" si="317"/>
        <v>2.8420114534326002</v>
      </c>
      <c r="AH693" s="357">
        <f t="shared" ca="1" si="318"/>
        <v>-0.33131472610511359</v>
      </c>
    </row>
    <row r="694" spans="1:34" x14ac:dyDescent="0.25">
      <c r="A694" s="402">
        <f t="shared" ca="1" si="296"/>
        <v>0.1</v>
      </c>
      <c r="B694" s="357">
        <f t="shared" ca="1" si="297"/>
        <v>24.000000000000011</v>
      </c>
      <c r="C694" s="342"/>
      <c r="D694" s="359">
        <f t="shared" ca="1" si="298"/>
        <v>-0.31558312882637196</v>
      </c>
      <c r="E694" s="360">
        <f t="shared" ca="1" si="299"/>
        <v>-9.6939732984499383</v>
      </c>
      <c r="F694" s="357">
        <f t="shared" ca="1" si="300"/>
        <v>9.6991087746380202</v>
      </c>
      <c r="G694" s="359">
        <f t="shared" ca="1" si="301"/>
        <v>37.992378586007192</v>
      </c>
      <c r="H694" s="360">
        <f t="shared" ca="1" si="302"/>
        <v>-14.949206690164729</v>
      </c>
      <c r="I694" s="357">
        <f t="shared" ca="1" si="303"/>
        <v>40.827681924005482</v>
      </c>
      <c r="J694" s="359">
        <f t="shared" ca="1" si="304"/>
        <v>1025.4219533248092</v>
      </c>
      <c r="K694" s="360">
        <f t="shared" ca="1" si="305"/>
        <v>2481.8489210507769</v>
      </c>
      <c r="L694" s="357">
        <f t="shared" ca="1" si="290"/>
        <v>2685.3424826791411</v>
      </c>
      <c r="M694" s="359">
        <f t="shared" ca="1" si="306"/>
        <v>-0.37487229684079337</v>
      </c>
      <c r="N694" s="357">
        <f t="shared" ca="1" si="307"/>
        <v>-21.478600465352844</v>
      </c>
      <c r="O694" s="343"/>
      <c r="P694" s="363">
        <f t="shared" ca="1" si="308"/>
        <v>23</v>
      </c>
      <c r="Q694" s="357">
        <f t="shared" ca="1" si="309"/>
        <v>0</v>
      </c>
      <c r="R694" s="359">
        <f t="shared" ca="1" si="310"/>
        <v>0</v>
      </c>
      <c r="S694" s="360">
        <f t="shared" ca="1" si="311"/>
        <v>10.637999999999975</v>
      </c>
      <c r="T694" s="357">
        <f t="shared" ca="1" si="291"/>
        <v>104.35877999999975</v>
      </c>
      <c r="U694" s="364">
        <f t="shared" ca="1" si="292"/>
        <v>0</v>
      </c>
      <c r="V694" s="359">
        <f t="shared" ca="1" si="293"/>
        <v>0.95453604136709036</v>
      </c>
      <c r="W694" s="357">
        <f t="shared" ca="1" si="294"/>
        <v>3.6333055239270746</v>
      </c>
      <c r="X694" s="343"/>
      <c r="Y694" s="367" t="str">
        <f t="shared" ca="1" si="312"/>
        <v/>
      </c>
      <c r="Z694" s="368" t="str">
        <f t="shared" ca="1" si="313"/>
        <v/>
      </c>
      <c r="AA694" s="369" t="str">
        <f t="shared" ca="1" si="314"/>
        <v/>
      </c>
      <c r="AB694" s="344"/>
      <c r="AC694" s="363">
        <f t="shared" ca="1" si="315"/>
        <v>24.000000000000011</v>
      </c>
      <c r="AD694" s="376">
        <f t="shared" ca="1" si="316"/>
        <v>1025.4219533248092</v>
      </c>
      <c r="AE694" s="377" t="e">
        <f t="shared" ca="1" si="295"/>
        <v>#N/A</v>
      </c>
      <c r="AF694" s="344"/>
      <c r="AG694" s="359">
        <f t="shared" ca="1" si="317"/>
        <v>3.0489473505243261</v>
      </c>
      <c r="AH694" s="357">
        <f t="shared" ca="1" si="318"/>
        <v>-0.33623638511087672</v>
      </c>
    </row>
    <row r="695" spans="1:34" x14ac:dyDescent="0.25">
      <c r="A695" s="402">
        <f t="shared" ca="1" si="296"/>
        <v>0.1</v>
      </c>
      <c r="B695" s="357">
        <f t="shared" ca="1" si="297"/>
        <v>24.100000000000012</v>
      </c>
      <c r="C695" s="342"/>
      <c r="D695" s="359">
        <f t="shared" ca="1" si="298"/>
        <v>-0.31782180860998893</v>
      </c>
      <c r="E695" s="360">
        <f t="shared" ca="1" si="299"/>
        <v>-9.6849437628181931</v>
      </c>
      <c r="F695" s="357">
        <f t="shared" ca="1" si="300"/>
        <v>9.6901571912420046</v>
      </c>
      <c r="G695" s="359">
        <f t="shared" ca="1" si="301"/>
        <v>37.960596405146191</v>
      </c>
      <c r="H695" s="360">
        <f t="shared" ca="1" si="302"/>
        <v>-15.917701066446549</v>
      </c>
      <c r="I695" s="357">
        <f t="shared" ca="1" si="303"/>
        <v>41.162848379031686</v>
      </c>
      <c r="J695" s="359">
        <f t="shared" ca="1" si="304"/>
        <v>1029.219602074367</v>
      </c>
      <c r="K695" s="360">
        <f t="shared" ca="1" si="305"/>
        <v>2480.3055756629465</v>
      </c>
      <c r="L695" s="357">
        <f t="shared" ca="1" si="290"/>
        <v>2685.3693857566072</v>
      </c>
      <c r="M695" s="359">
        <f t="shared" ca="1" si="306"/>
        <v>-0.39705124549638426</v>
      </c>
      <c r="N695" s="357">
        <f t="shared" ca="1" si="307"/>
        <v>-22.749360617355553</v>
      </c>
      <c r="O695" s="343"/>
      <c r="P695" s="363">
        <f t="shared" ca="1" si="308"/>
        <v>23</v>
      </c>
      <c r="Q695" s="357">
        <f t="shared" ca="1" si="309"/>
        <v>0</v>
      </c>
      <c r="R695" s="359">
        <f t="shared" ca="1" si="310"/>
        <v>0</v>
      </c>
      <c r="S695" s="360">
        <f t="shared" ca="1" si="311"/>
        <v>10.637999999999975</v>
      </c>
      <c r="T695" s="357">
        <f t="shared" ca="1" si="291"/>
        <v>104.35877999999975</v>
      </c>
      <c r="U695" s="364">
        <f t="shared" ca="1" si="292"/>
        <v>0</v>
      </c>
      <c r="V695" s="359">
        <f t="shared" ca="1" si="293"/>
        <v>0.95468567353671241</v>
      </c>
      <c r="W695" s="357">
        <f t="shared" ca="1" si="294"/>
        <v>3.6937830731036572</v>
      </c>
      <c r="X695" s="343"/>
      <c r="Y695" s="367" t="str">
        <f t="shared" ca="1" si="312"/>
        <v/>
      </c>
      <c r="Z695" s="368" t="str">
        <f t="shared" ca="1" si="313"/>
        <v/>
      </c>
      <c r="AA695" s="369" t="str">
        <f t="shared" ca="1" si="314"/>
        <v/>
      </c>
      <c r="AB695" s="344"/>
      <c r="AC695" s="363" t="e">
        <f t="shared" ca="1" si="315"/>
        <v>#N/A</v>
      </c>
      <c r="AD695" s="376" t="e">
        <f t="shared" ca="1" si="316"/>
        <v>#N/A</v>
      </c>
      <c r="AE695" s="377" t="e">
        <f t="shared" ca="1" si="295"/>
        <v>#N/A</v>
      </c>
      <c r="AF695" s="344"/>
      <c r="AG695" s="359">
        <f t="shared" ca="1" si="317"/>
        <v>3.2504274884967845</v>
      </c>
      <c r="AH695" s="357">
        <f t="shared" ca="1" si="318"/>
        <v>-0.34154028237705236</v>
      </c>
    </row>
    <row r="696" spans="1:34" x14ac:dyDescent="0.25">
      <c r="A696" s="402">
        <f t="shared" ca="1" si="296"/>
        <v>0.1</v>
      </c>
      <c r="B696" s="357">
        <f t="shared" ca="1" si="297"/>
        <v>24.200000000000014</v>
      </c>
      <c r="C696" s="342"/>
      <c r="D696" s="359">
        <f t="shared" ca="1" si="298"/>
        <v>-0.32021303621253194</v>
      </c>
      <c r="E696" s="360">
        <f t="shared" ca="1" si="299"/>
        <v>-9.6757277316296513</v>
      </c>
      <c r="F696" s="357">
        <f t="shared" ca="1" si="300"/>
        <v>9.6810249212150836</v>
      </c>
      <c r="G696" s="359">
        <f t="shared" ca="1" si="301"/>
        <v>37.928575101524935</v>
      </c>
      <c r="H696" s="360">
        <f t="shared" ca="1" si="302"/>
        <v>-16.885273839609514</v>
      </c>
      <c r="I696" s="357">
        <f t="shared" ca="1" si="303"/>
        <v>41.517337124033119</v>
      </c>
      <c r="J696" s="359">
        <f t="shared" ca="1" si="304"/>
        <v>1033.0140606497005</v>
      </c>
      <c r="K696" s="360">
        <f t="shared" ca="1" si="305"/>
        <v>2478.6654269176438</v>
      </c>
      <c r="L696" s="357">
        <f t="shared" ca="1" si="290"/>
        <v>2685.3119647625317</v>
      </c>
      <c r="M696" s="359">
        <f t="shared" ca="1" si="306"/>
        <v>-0.4188434667481139</v>
      </c>
      <c r="N696" s="357">
        <f t="shared" ca="1" si="307"/>
        <v>-23.997962921294963</v>
      </c>
      <c r="O696" s="343"/>
      <c r="P696" s="363">
        <f t="shared" ca="1" si="308"/>
        <v>23</v>
      </c>
      <c r="Q696" s="357">
        <f t="shared" ca="1" si="309"/>
        <v>0</v>
      </c>
      <c r="R696" s="359">
        <f t="shared" ca="1" si="310"/>
        <v>0</v>
      </c>
      <c r="S696" s="360">
        <f t="shared" ca="1" si="311"/>
        <v>10.637999999999975</v>
      </c>
      <c r="T696" s="357">
        <f t="shared" ca="1" si="291"/>
        <v>104.35877999999975</v>
      </c>
      <c r="U696" s="364">
        <f t="shared" ca="1" si="292"/>
        <v>0</v>
      </c>
      <c r="V696" s="359">
        <f t="shared" ca="1" si="293"/>
        <v>0.95484471361559209</v>
      </c>
      <c r="W696" s="357">
        <f t="shared" ca="1" si="294"/>
        <v>3.7583037026978423</v>
      </c>
      <c r="X696" s="343"/>
      <c r="Y696" s="367" t="str">
        <f t="shared" ca="1" si="312"/>
        <v/>
      </c>
      <c r="Z696" s="368" t="str">
        <f t="shared" ca="1" si="313"/>
        <v/>
      </c>
      <c r="AA696" s="369" t="str">
        <f t="shared" ca="1" si="314"/>
        <v/>
      </c>
      <c r="AB696" s="344"/>
      <c r="AC696" s="363" t="e">
        <f t="shared" ca="1" si="315"/>
        <v>#N/A</v>
      </c>
      <c r="AD696" s="376" t="e">
        <f t="shared" ca="1" si="316"/>
        <v>#N/A</v>
      </c>
      <c r="AE696" s="377" t="e">
        <f t="shared" ca="1" si="295"/>
        <v>#N/A</v>
      </c>
      <c r="AF696" s="344"/>
      <c r="AG696" s="359">
        <f t="shared" ca="1" si="317"/>
        <v>3.4463082460867946</v>
      </c>
      <c r="AH696" s="357">
        <f t="shared" ca="1" si="318"/>
        <v>-0.34722533118101767</v>
      </c>
    </row>
    <row r="697" spans="1:34" x14ac:dyDescent="0.25">
      <c r="A697" s="402">
        <f t="shared" ca="1" si="296"/>
        <v>0.1</v>
      </c>
      <c r="B697" s="357">
        <f t="shared" ca="1" si="297"/>
        <v>24.300000000000015</v>
      </c>
      <c r="C697" s="342"/>
      <c r="D697" s="359">
        <f t="shared" ca="1" si="298"/>
        <v>-0.32275198559124002</v>
      </c>
      <c r="E697" s="360">
        <f t="shared" ca="1" si="299"/>
        <v>-9.6663153072743118</v>
      </c>
      <c r="F697" s="357">
        <f t="shared" ca="1" si="300"/>
        <v>9.6717020458577387</v>
      </c>
      <c r="G697" s="359">
        <f t="shared" ca="1" si="301"/>
        <v>37.896299902965808</v>
      </c>
      <c r="H697" s="360">
        <f t="shared" ca="1" si="302"/>
        <v>-17.851905370336944</v>
      </c>
      <c r="I697" s="357">
        <f t="shared" ca="1" si="303"/>
        <v>41.890572587242005</v>
      </c>
      <c r="J697" s="359">
        <f t="shared" ca="1" si="304"/>
        <v>1036.805304399925</v>
      </c>
      <c r="K697" s="360">
        <f t="shared" ca="1" si="305"/>
        <v>2476.9285679571467</v>
      </c>
      <c r="L697" s="357">
        <f t="shared" ca="1" si="290"/>
        <v>2685.1704545510815</v>
      </c>
      <c r="M697" s="359">
        <f t="shared" ca="1" si="306"/>
        <v>-0.44023898854288152</v>
      </c>
      <c r="N697" s="357">
        <f t="shared" ca="1" si="307"/>
        <v>-25.223836020615312</v>
      </c>
      <c r="O697" s="343"/>
      <c r="P697" s="363">
        <f t="shared" ca="1" si="308"/>
        <v>23</v>
      </c>
      <c r="Q697" s="357">
        <f t="shared" ca="1" si="309"/>
        <v>0</v>
      </c>
      <c r="R697" s="359">
        <f t="shared" ca="1" si="310"/>
        <v>0</v>
      </c>
      <c r="S697" s="360">
        <f t="shared" ca="1" si="311"/>
        <v>10.637999999999975</v>
      </c>
      <c r="T697" s="357">
        <f t="shared" ca="1" si="291"/>
        <v>104.35877999999975</v>
      </c>
      <c r="U697" s="364">
        <f t="shared" ca="1" si="292"/>
        <v>0</v>
      </c>
      <c r="V697" s="359">
        <f t="shared" ca="1" si="293"/>
        <v>0.95501315668430964</v>
      </c>
      <c r="W697" s="357">
        <f t="shared" ca="1" si="294"/>
        <v>3.82685573595024</v>
      </c>
      <c r="X697" s="343"/>
      <c r="Y697" s="367" t="str">
        <f t="shared" ca="1" si="312"/>
        <v/>
      </c>
      <c r="Z697" s="368" t="str">
        <f t="shared" ca="1" si="313"/>
        <v/>
      </c>
      <c r="AA697" s="369" t="str">
        <f t="shared" ca="1" si="314"/>
        <v/>
      </c>
      <c r="AB697" s="344"/>
      <c r="AC697" s="363" t="e">
        <f t="shared" ca="1" si="315"/>
        <v>#N/A</v>
      </c>
      <c r="AD697" s="376" t="e">
        <f t="shared" ca="1" si="316"/>
        <v>#N/A</v>
      </c>
      <c r="AE697" s="377" t="e">
        <f t="shared" ca="1" si="295"/>
        <v>#N/A</v>
      </c>
      <c r="AF697" s="344"/>
      <c r="AG697" s="359">
        <f t="shared" ca="1" si="317"/>
        <v>3.6364773975659528</v>
      </c>
      <c r="AH697" s="357">
        <f t="shared" ca="1" si="318"/>
        <v>-0.3532904401859232</v>
      </c>
    </row>
    <row r="698" spans="1:34" x14ac:dyDescent="0.25">
      <c r="A698" s="402">
        <f t="shared" ca="1" si="296"/>
        <v>0.1</v>
      </c>
      <c r="B698" s="357">
        <f t="shared" ca="1" si="297"/>
        <v>24.400000000000016</v>
      </c>
      <c r="C698" s="342"/>
      <c r="D698" s="359">
        <f t="shared" ca="1" si="298"/>
        <v>-0.32543376947566716</v>
      </c>
      <c r="E698" s="360">
        <f t="shared" ca="1" si="299"/>
        <v>-9.6566970951816593</v>
      </c>
      <c r="F698" s="357">
        <f t="shared" ca="1" si="300"/>
        <v>9.6621791499850094</v>
      </c>
      <c r="G698" s="359">
        <f t="shared" ca="1" si="301"/>
        <v>37.863756526018243</v>
      </c>
      <c r="H698" s="360">
        <f t="shared" ca="1" si="302"/>
        <v>-18.817575079855111</v>
      </c>
      <c r="I698" s="357">
        <f t="shared" ca="1" si="303"/>
        <v>42.28197240133877</v>
      </c>
      <c r="J698" s="359">
        <f t="shared" ca="1" si="304"/>
        <v>1040.5933072213743</v>
      </c>
      <c r="K698" s="360">
        <f t="shared" ca="1" si="305"/>
        <v>2475.0950939346371</v>
      </c>
      <c r="L698" s="357">
        <f t="shared" ca="1" si="290"/>
        <v>2684.9450934894794</v>
      </c>
      <c r="M698" s="359">
        <f t="shared" ca="1" si="306"/>
        <v>-0.46122965239081115</v>
      </c>
      <c r="N698" s="357">
        <f t="shared" ca="1" si="307"/>
        <v>-26.426512468279519</v>
      </c>
      <c r="O698" s="343"/>
      <c r="P698" s="363">
        <f t="shared" ca="1" si="308"/>
        <v>23</v>
      </c>
      <c r="Q698" s="357">
        <f t="shared" ca="1" si="309"/>
        <v>0</v>
      </c>
      <c r="R698" s="359">
        <f t="shared" ca="1" si="310"/>
        <v>0</v>
      </c>
      <c r="S698" s="360">
        <f t="shared" ca="1" si="311"/>
        <v>10.637999999999975</v>
      </c>
      <c r="T698" s="357">
        <f t="shared" ca="1" si="291"/>
        <v>104.35877999999975</v>
      </c>
      <c r="U698" s="364">
        <f t="shared" ca="1" si="292"/>
        <v>0</v>
      </c>
      <c r="V698" s="359">
        <f t="shared" ca="1" si="293"/>
        <v>0.95519099786695238</v>
      </c>
      <c r="W698" s="357">
        <f t="shared" ca="1" si="294"/>
        <v>3.8994274118545564</v>
      </c>
      <c r="X698" s="343"/>
      <c r="Y698" s="367" t="str">
        <f t="shared" ca="1" si="312"/>
        <v/>
      </c>
      <c r="Z698" s="368" t="str">
        <f t="shared" ca="1" si="313"/>
        <v/>
      </c>
      <c r="AA698" s="369" t="str">
        <f t="shared" ca="1" si="314"/>
        <v/>
      </c>
      <c r="AB698" s="344"/>
      <c r="AC698" s="363" t="e">
        <f t="shared" ca="1" si="315"/>
        <v>#N/A</v>
      </c>
      <c r="AD698" s="376" t="e">
        <f t="shared" ca="1" si="316"/>
        <v>#N/A</v>
      </c>
      <c r="AE698" s="377" t="e">
        <f t="shared" ca="1" si="295"/>
        <v>#N/A</v>
      </c>
      <c r="AF698" s="344"/>
      <c r="AG698" s="359">
        <f t="shared" ca="1" si="317"/>
        <v>3.8208526912170804</v>
      </c>
      <c r="AH698" s="357">
        <f t="shared" ca="1" si="318"/>
        <v>-0.3597345117456523</v>
      </c>
    </row>
    <row r="699" spans="1:34" x14ac:dyDescent="0.25">
      <c r="A699" s="402">
        <f t="shared" ca="1" si="296"/>
        <v>0.1</v>
      </c>
      <c r="B699" s="357">
        <f t="shared" ca="1" si="297"/>
        <v>24.500000000000018</v>
      </c>
      <c r="C699" s="342"/>
      <c r="D699" s="359">
        <f t="shared" ca="1" si="298"/>
        <v>-0.32825346170277986</v>
      </c>
      <c r="E699" s="360">
        <f t="shared" ca="1" si="299"/>
        <v>-9.6468642013485937</v>
      </c>
      <c r="F699" s="357">
        <f t="shared" ca="1" si="300"/>
        <v>9.6524473194304932</v>
      </c>
      <c r="G699" s="359">
        <f t="shared" ca="1" si="301"/>
        <v>37.830931179847965</v>
      </c>
      <c r="H699" s="360">
        <f t="shared" ca="1" si="302"/>
        <v>-19.782261499989971</v>
      </c>
      <c r="I699" s="357">
        <f t="shared" ca="1" si="303"/>
        <v>42.690950141550822</v>
      </c>
      <c r="J699" s="359">
        <f t="shared" ca="1" si="304"/>
        <v>1044.3780416066677</v>
      </c>
      <c r="K699" s="360">
        <f t="shared" ca="1" si="305"/>
        <v>2473.165102105645</v>
      </c>
      <c r="L699" s="357">
        <f t="shared" ca="1" si="290"/>
        <v>2684.6361235861004</v>
      </c>
      <c r="M699" s="359">
        <f t="shared" ca="1" si="306"/>
        <v>-0.48180903313826073</v>
      </c>
      <c r="N699" s="357">
        <f t="shared" ca="1" si="307"/>
        <v>-27.605624130101162</v>
      </c>
      <c r="O699" s="343"/>
      <c r="P699" s="363">
        <f t="shared" ca="1" si="308"/>
        <v>23</v>
      </c>
      <c r="Q699" s="357">
        <f t="shared" ca="1" si="309"/>
        <v>0</v>
      </c>
      <c r="R699" s="359">
        <f t="shared" ca="1" si="310"/>
        <v>0</v>
      </c>
      <c r="S699" s="360">
        <f t="shared" ca="1" si="311"/>
        <v>10.637999999999975</v>
      </c>
      <c r="T699" s="357">
        <f t="shared" ca="1" si="291"/>
        <v>104.35877999999975</v>
      </c>
      <c r="U699" s="364">
        <f t="shared" ca="1" si="292"/>
        <v>0</v>
      </c>
      <c r="V699" s="359">
        <f t="shared" ca="1" si="293"/>
        <v>0.95537823232157437</v>
      </c>
      <c r="W699" s="357">
        <f t="shared" ca="1" si="294"/>
        <v>3.976006868924912</v>
      </c>
      <c r="X699" s="343"/>
      <c r="Y699" s="367" t="str">
        <f t="shared" ca="1" si="312"/>
        <v/>
      </c>
      <c r="Z699" s="368" t="str">
        <f t="shared" ca="1" si="313"/>
        <v/>
      </c>
      <c r="AA699" s="369" t="str">
        <f t="shared" ca="1" si="314"/>
        <v/>
      </c>
      <c r="AB699" s="344"/>
      <c r="AC699" s="363" t="e">
        <f t="shared" ca="1" si="315"/>
        <v>#N/A</v>
      </c>
      <c r="AD699" s="376" t="e">
        <f t="shared" ca="1" si="316"/>
        <v>#N/A</v>
      </c>
      <c r="AE699" s="377" t="e">
        <f t="shared" ca="1" si="295"/>
        <v>#N/A</v>
      </c>
      <c r="AF699" s="344"/>
      <c r="AG699" s="359">
        <f t="shared" ca="1" si="317"/>
        <v>3.9993801764071137</v>
      </c>
      <c r="AH699" s="357">
        <f t="shared" ca="1" si="318"/>
        <v>-0.36655644029465739</v>
      </c>
    </row>
    <row r="700" spans="1:34" x14ac:dyDescent="0.25">
      <c r="A700" s="402">
        <f t="shared" ca="1" si="296"/>
        <v>0.1</v>
      </c>
      <c r="B700" s="357">
        <f t="shared" ca="1" si="297"/>
        <v>24.600000000000019</v>
      </c>
      <c r="C700" s="342"/>
      <c r="D700" s="359">
        <f t="shared" ca="1" si="298"/>
        <v>-0.33120611812908257</v>
      </c>
      <c r="E700" s="360">
        <f t="shared" ca="1" si="299"/>
        <v>-9.636808227159996</v>
      </c>
      <c r="F700" s="357">
        <f t="shared" ca="1" si="300"/>
        <v>9.642498135843466</v>
      </c>
      <c r="G700" s="359">
        <f t="shared" ca="1" si="301"/>
        <v>37.797810568035054</v>
      </c>
      <c r="H700" s="360">
        <f t="shared" ca="1" si="302"/>
        <v>-20.745942322705972</v>
      </c>
      <c r="I700" s="357">
        <f t="shared" ca="1" si="303"/>
        <v>43.116917869835099</v>
      </c>
      <c r="J700" s="359">
        <f t="shared" ca="1" si="304"/>
        <v>1048.1594786940618</v>
      </c>
      <c r="K700" s="360">
        <f t="shared" ca="1" si="305"/>
        <v>2471.1386919145102</v>
      </c>
      <c r="L700" s="357">
        <f t="shared" ca="1" si="290"/>
        <v>2684.2437906146238</v>
      </c>
      <c r="M700" s="359">
        <f t="shared" ca="1" si="306"/>
        <v>-0.50197234825885784</v>
      </c>
      <c r="N700" s="357">
        <f t="shared" ca="1" si="307"/>
        <v>-28.760896987503692</v>
      </c>
      <c r="O700" s="343"/>
      <c r="P700" s="363">
        <f t="shared" ca="1" si="308"/>
        <v>23</v>
      </c>
      <c r="Q700" s="357">
        <f t="shared" ca="1" si="309"/>
        <v>0</v>
      </c>
      <c r="R700" s="359">
        <f t="shared" ca="1" si="310"/>
        <v>0</v>
      </c>
      <c r="S700" s="360">
        <f t="shared" ca="1" si="311"/>
        <v>10.637999999999975</v>
      </c>
      <c r="T700" s="357">
        <f t="shared" ca="1" si="291"/>
        <v>104.35877999999975</v>
      </c>
      <c r="U700" s="364">
        <f t="shared" ca="1" si="292"/>
        <v>0</v>
      </c>
      <c r="V700" s="359">
        <f t="shared" ca="1" si="293"/>
        <v>0.9555748552311244</v>
      </c>
      <c r="W700" s="357">
        <f t="shared" ca="1" si="294"/>
        <v>4.056582129848322</v>
      </c>
      <c r="X700" s="343"/>
      <c r="Y700" s="367" t="str">
        <f t="shared" ca="1" si="312"/>
        <v/>
      </c>
      <c r="Z700" s="368" t="str">
        <f t="shared" ca="1" si="313"/>
        <v/>
      </c>
      <c r="AA700" s="369" t="str">
        <f t="shared" ca="1" si="314"/>
        <v/>
      </c>
      <c r="AB700" s="344"/>
      <c r="AC700" s="363" t="e">
        <f t="shared" ca="1" si="315"/>
        <v>#N/A</v>
      </c>
      <c r="AD700" s="376" t="e">
        <f t="shared" ca="1" si="316"/>
        <v>#N/A</v>
      </c>
      <c r="AE700" s="377" t="e">
        <f t="shared" ca="1" si="295"/>
        <v>#N/A</v>
      </c>
      <c r="AF700" s="344"/>
      <c r="AG700" s="359">
        <f t="shared" ca="1" si="317"/>
        <v>4.1720323376053523</v>
      </c>
      <c r="AH700" s="357">
        <f t="shared" ca="1" si="318"/>
        <v>-0.3737551108220456</v>
      </c>
    </row>
    <row r="701" spans="1:34" x14ac:dyDescent="0.25">
      <c r="A701" s="402">
        <f t="shared" ca="1" si="296"/>
        <v>0.1</v>
      </c>
      <c r="B701" s="357">
        <f t="shared" ca="1" si="297"/>
        <v>24.700000000000021</v>
      </c>
      <c r="C701" s="342"/>
      <c r="D701" s="359">
        <f t="shared" ca="1" si="298"/>
        <v>-0.33428679599854133</v>
      </c>
      <c r="E701" s="360">
        <f t="shared" ca="1" si="299"/>
        <v>-9.6265212618189899</v>
      </c>
      <c r="F701" s="357">
        <f t="shared" ca="1" si="300"/>
        <v>9.6323236690962606</v>
      </c>
      <c r="G701" s="359">
        <f t="shared" ca="1" si="301"/>
        <v>37.764381888435203</v>
      </c>
      <c r="H701" s="360">
        <f t="shared" ca="1" si="302"/>
        <v>-21.708594448887872</v>
      </c>
      <c r="I701" s="357">
        <f t="shared" ca="1" si="303"/>
        <v>43.559288474008135</v>
      </c>
      <c r="J701" s="359">
        <f t="shared" ca="1" si="304"/>
        <v>1051.9375883168852</v>
      </c>
      <c r="K701" s="360">
        <f t="shared" ca="1" si="305"/>
        <v>2469.0159650759306</v>
      </c>
      <c r="L701" s="357">
        <f t="shared" ca="1" si="290"/>
        <v>2683.7683442342363</v>
      </c>
      <c r="M701" s="359">
        <f t="shared" ca="1" si="306"/>
        <v>-0.52171635918781145</v>
      </c>
      <c r="N701" s="357">
        <f t="shared" ca="1" si="307"/>
        <v>-29.892145484392906</v>
      </c>
      <c r="O701" s="343"/>
      <c r="P701" s="363">
        <f t="shared" ca="1" si="308"/>
        <v>23</v>
      </c>
      <c r="Q701" s="357">
        <f t="shared" ca="1" si="309"/>
        <v>0</v>
      </c>
      <c r="R701" s="359">
        <f t="shared" ca="1" si="310"/>
        <v>0</v>
      </c>
      <c r="S701" s="360">
        <f t="shared" ca="1" si="311"/>
        <v>10.637999999999975</v>
      </c>
      <c r="T701" s="357">
        <f t="shared" ca="1" si="291"/>
        <v>104.35877999999975</v>
      </c>
      <c r="U701" s="364">
        <f t="shared" ca="1" si="292"/>
        <v>0</v>
      </c>
      <c r="V701" s="359">
        <f t="shared" ca="1" si="293"/>
        <v>0.95578086179482635</v>
      </c>
      <c r="W701" s="357">
        <f t="shared" ca="1" si="294"/>
        <v>4.1411410870071839</v>
      </c>
      <c r="X701" s="343"/>
      <c r="Y701" s="367" t="str">
        <f t="shared" ca="1" si="312"/>
        <v/>
      </c>
      <c r="Z701" s="368" t="str">
        <f t="shared" ca="1" si="313"/>
        <v/>
      </c>
      <c r="AA701" s="369" t="str">
        <f t="shared" ca="1" si="314"/>
        <v/>
      </c>
      <c r="AB701" s="344"/>
      <c r="AC701" s="363" t="e">
        <f t="shared" ca="1" si="315"/>
        <v>#N/A</v>
      </c>
      <c r="AD701" s="376" t="e">
        <f t="shared" ca="1" si="316"/>
        <v>#N/A</v>
      </c>
      <c r="AE701" s="377" t="e">
        <f t="shared" ca="1" si="295"/>
        <v>#N/A</v>
      </c>
      <c r="AF701" s="344"/>
      <c r="AG701" s="359">
        <f t="shared" ca="1" si="317"/>
        <v>4.3388060909226276</v>
      </c>
      <c r="AH701" s="357">
        <f t="shared" ca="1" si="318"/>
        <v>-0.38132939742887118</v>
      </c>
    </row>
    <row r="702" spans="1:34" x14ac:dyDescent="0.25">
      <c r="A702" s="402">
        <f t="shared" ca="1" si="296"/>
        <v>0.1</v>
      </c>
      <c r="B702" s="357">
        <f t="shared" ca="1" si="297"/>
        <v>24.800000000000022</v>
      </c>
      <c r="C702" s="342"/>
      <c r="D702" s="359">
        <f t="shared" ca="1" si="298"/>
        <v>-0.33749057168667729</v>
      </c>
      <c r="E702" s="360">
        <f t="shared" ca="1" si="299"/>
        <v>-9.6159958727058363</v>
      </c>
      <c r="F702" s="357">
        <f t="shared" ca="1" si="300"/>
        <v>9.6219164676208386</v>
      </c>
      <c r="G702" s="359">
        <f t="shared" ca="1" si="301"/>
        <v>37.730632831266533</v>
      </c>
      <c r="H702" s="360">
        <f t="shared" ca="1" si="302"/>
        <v>-22.670194036158456</v>
      </c>
      <c r="I702" s="357">
        <f t="shared" ca="1" si="303"/>
        <v>44.017477795586181</v>
      </c>
      <c r="J702" s="359">
        <f t="shared" ca="1" si="304"/>
        <v>1055.7123390528702</v>
      </c>
      <c r="K702" s="360">
        <f t="shared" ca="1" si="305"/>
        <v>2466.7970256516783</v>
      </c>
      <c r="L702" s="357">
        <f t="shared" ca="1" si="290"/>
        <v>2683.2100381059345</v>
      </c>
      <c r="M702" s="359">
        <f t="shared" ca="1" si="306"/>
        <v>-0.54103926706250771</v>
      </c>
      <c r="N702" s="357">
        <f t="shared" ca="1" si="307"/>
        <v>-30.999266553533104</v>
      </c>
      <c r="O702" s="343"/>
      <c r="P702" s="363">
        <f t="shared" ca="1" si="308"/>
        <v>23</v>
      </c>
      <c r="Q702" s="357">
        <f t="shared" ca="1" si="309"/>
        <v>0</v>
      </c>
      <c r="R702" s="359">
        <f t="shared" ca="1" si="310"/>
        <v>0</v>
      </c>
      <c r="S702" s="360">
        <f t="shared" ca="1" si="311"/>
        <v>10.637999999999975</v>
      </c>
      <c r="T702" s="357">
        <f t="shared" ca="1" si="291"/>
        <v>104.35877999999975</v>
      </c>
      <c r="U702" s="364">
        <f t="shared" ca="1" si="292"/>
        <v>0</v>
      </c>
      <c r="V702" s="359">
        <f t="shared" ca="1" si="293"/>
        <v>0.95599624722001031</v>
      </c>
      <c r="W702" s="357">
        <f t="shared" ca="1" si="294"/>
        <v>4.2296714888532803</v>
      </c>
      <c r="X702" s="343"/>
      <c r="Y702" s="367" t="str">
        <f t="shared" ca="1" si="312"/>
        <v/>
      </c>
      <c r="Z702" s="368" t="str">
        <f t="shared" ca="1" si="313"/>
        <v/>
      </c>
      <c r="AA702" s="369" t="str">
        <f t="shared" ca="1" si="314"/>
        <v/>
      </c>
      <c r="AB702" s="344"/>
      <c r="AC702" s="363" t="e">
        <f t="shared" ca="1" si="315"/>
        <v>#N/A</v>
      </c>
      <c r="AD702" s="376" t="e">
        <f t="shared" ca="1" si="316"/>
        <v>#N/A</v>
      </c>
      <c r="AE702" s="377" t="e">
        <f t="shared" ca="1" si="295"/>
        <v>#N/A</v>
      </c>
      <c r="AF702" s="344"/>
      <c r="AG702" s="359">
        <f t="shared" ca="1" si="317"/>
        <v>4.4997206946294535</v>
      </c>
      <c r="AH702" s="357">
        <f t="shared" ca="1" si="318"/>
        <v>-0.38927816196721127</v>
      </c>
    </row>
    <row r="703" spans="1:34" x14ac:dyDescent="0.25">
      <c r="A703" s="402">
        <f t="shared" ca="1" si="296"/>
        <v>0.1</v>
      </c>
      <c r="B703" s="357">
        <f t="shared" ca="1" si="297"/>
        <v>24.900000000000023</v>
      </c>
      <c r="C703" s="342"/>
      <c r="D703" s="359">
        <f t="shared" ca="1" si="298"/>
        <v>-0.34081255677906408</v>
      </c>
      <c r="E703" s="360">
        <f t="shared" ca="1" si="299"/>
        <v>-9.6052250939788628</v>
      </c>
      <c r="F703" s="357">
        <f t="shared" ca="1" si="300"/>
        <v>9.6112695469880318</v>
      </c>
      <c r="G703" s="359">
        <f t="shared" ca="1" si="301"/>
        <v>37.696551575588629</v>
      </c>
      <c r="H703" s="360">
        <f t="shared" ca="1" si="302"/>
        <v>-23.630716545556343</v>
      </c>
      <c r="I703" s="357">
        <f t="shared" ca="1" si="303"/>
        <v>44.490906544455171</v>
      </c>
      <c r="J703" s="359">
        <f t="shared" ca="1" si="304"/>
        <v>1059.4836982732129</v>
      </c>
      <c r="K703" s="360">
        <f t="shared" ca="1" si="305"/>
        <v>2464.4819801225926</v>
      </c>
      <c r="L703" s="357">
        <f t="shared" ca="1" si="290"/>
        <v>2682.5691300049771</v>
      </c>
      <c r="M703" s="359">
        <f t="shared" ca="1" si="306"/>
        <v>-0.55994060503054899</v>
      </c>
      <c r="N703" s="357">
        <f t="shared" ca="1" si="307"/>
        <v>-32.082233446252246</v>
      </c>
      <c r="O703" s="343"/>
      <c r="P703" s="363">
        <f t="shared" ca="1" si="308"/>
        <v>23</v>
      </c>
      <c r="Q703" s="357">
        <f t="shared" ca="1" si="309"/>
        <v>0</v>
      </c>
      <c r="R703" s="359">
        <f t="shared" ca="1" si="310"/>
        <v>0</v>
      </c>
      <c r="S703" s="360">
        <f t="shared" ca="1" si="311"/>
        <v>10.637999999999975</v>
      </c>
      <c r="T703" s="357">
        <f t="shared" ca="1" si="291"/>
        <v>104.35877999999975</v>
      </c>
      <c r="U703" s="364">
        <f t="shared" ca="1" si="292"/>
        <v>0</v>
      </c>
      <c r="V703" s="359">
        <f t="shared" ca="1" si="293"/>
        <v>0.95622100671437771</v>
      </c>
      <c r="W703" s="357">
        <f t="shared" ca="1" si="294"/>
        <v>4.322160927111792</v>
      </c>
      <c r="X703" s="343"/>
      <c r="Y703" s="367" t="str">
        <f t="shared" ca="1" si="312"/>
        <v/>
      </c>
      <c r="Z703" s="368" t="str">
        <f t="shared" ca="1" si="313"/>
        <v/>
      </c>
      <c r="AA703" s="369" t="str">
        <f t="shared" ca="1" si="314"/>
        <v/>
      </c>
      <c r="AB703" s="344"/>
      <c r="AC703" s="363" t="e">
        <f t="shared" ca="1" si="315"/>
        <v>#N/A</v>
      </c>
      <c r="AD703" s="376" t="e">
        <f t="shared" ca="1" si="316"/>
        <v>#N/A</v>
      </c>
      <c r="AE703" s="377" t="e">
        <f t="shared" ca="1" si="295"/>
        <v>#N/A</v>
      </c>
      <c r="AF703" s="344"/>
      <c r="AG703" s="359">
        <f t="shared" ca="1" si="317"/>
        <v>4.6548156200332915</v>
      </c>
      <c r="AH703" s="357">
        <f t="shared" ca="1" si="318"/>
        <v>-0.39760025275928651</v>
      </c>
    </row>
    <row r="704" spans="1:34" x14ac:dyDescent="0.25">
      <c r="A704" s="402">
        <f t="shared" ca="1" si="296"/>
        <v>0.1</v>
      </c>
      <c r="B704" s="357">
        <f t="shared" ca="1" si="297"/>
        <v>25.000000000000025</v>
      </c>
      <c r="C704" s="342"/>
      <c r="D704" s="359">
        <f t="shared" ca="1" si="298"/>
        <v>-0.34424791247598596</v>
      </c>
      <c r="E704" s="360">
        <f t="shared" ca="1" si="299"/>
        <v>-9.594202413719259</v>
      </c>
      <c r="F704" s="357">
        <f t="shared" ca="1" si="300"/>
        <v>9.6003763770312958</v>
      </c>
      <c r="G704" s="359">
        <f t="shared" ca="1" si="301"/>
        <v>37.662126784341027</v>
      </c>
      <c r="H704" s="360">
        <f t="shared" ca="1" si="302"/>
        <v>-24.590136786928269</v>
      </c>
      <c r="I704" s="357">
        <f t="shared" ca="1" si="303"/>
        <v>44.979002002263464</v>
      </c>
      <c r="J704" s="359">
        <f t="shared" ca="1" si="304"/>
        <v>1063.2516321912094</v>
      </c>
      <c r="K704" s="360">
        <f t="shared" ca="1" si="305"/>
        <v>2462.0709374559683</v>
      </c>
      <c r="L704" s="357">
        <f t="shared" ca="1" si="290"/>
        <v>2681.8458819295679</v>
      </c>
      <c r="M704" s="359">
        <f t="shared" ca="1" si="306"/>
        <v>-0.57842112905840137</v>
      </c>
      <c r="N704" s="357">
        <f t="shared" ca="1" si="307"/>
        <v>-33.141089476238299</v>
      </c>
      <c r="O704" s="343"/>
      <c r="P704" s="363">
        <f t="shared" ca="1" si="308"/>
        <v>23</v>
      </c>
      <c r="Q704" s="357">
        <f t="shared" ca="1" si="309"/>
        <v>0</v>
      </c>
      <c r="R704" s="359">
        <f t="shared" ca="1" si="310"/>
        <v>0</v>
      </c>
      <c r="S704" s="360">
        <f t="shared" ca="1" si="311"/>
        <v>10.637999999999975</v>
      </c>
      <c r="T704" s="357">
        <f t="shared" ca="1" si="291"/>
        <v>104.35877999999975</v>
      </c>
      <c r="U704" s="364">
        <f t="shared" ca="1" si="292"/>
        <v>0</v>
      </c>
      <c r="V704" s="359">
        <f t="shared" ca="1" si="293"/>
        <v>0.95645513547869221</v>
      </c>
      <c r="W704" s="357">
        <f t="shared" ca="1" si="294"/>
        <v>4.4185968247914946</v>
      </c>
      <c r="X704" s="343"/>
      <c r="Y704" s="367" t="str">
        <f t="shared" ca="1" si="312"/>
        <v/>
      </c>
      <c r="Z704" s="368" t="str">
        <f t="shared" ca="1" si="313"/>
        <v/>
      </c>
      <c r="AA704" s="369" t="str">
        <f t="shared" ca="1" si="314"/>
        <v/>
      </c>
      <c r="AB704" s="344"/>
      <c r="AC704" s="363">
        <f t="shared" ca="1" si="315"/>
        <v>25.000000000000025</v>
      </c>
      <c r="AD704" s="376">
        <f t="shared" ca="1" si="316"/>
        <v>1063.2516321912094</v>
      </c>
      <c r="AE704" s="377" t="e">
        <f t="shared" ca="1" si="295"/>
        <v>#N/A</v>
      </c>
      <c r="AF704" s="344"/>
      <c r="AG704" s="359">
        <f t="shared" ca="1" si="317"/>
        <v>4.8041484234150937</v>
      </c>
      <c r="AH704" s="357">
        <f t="shared" ca="1" si="318"/>
        <v>-0.40629450339460443</v>
      </c>
    </row>
    <row r="705" spans="1:34" x14ac:dyDescent="0.25">
      <c r="A705" s="402">
        <f t="shared" ca="1" si="296"/>
        <v>0.1</v>
      </c>
      <c r="B705" s="357">
        <f t="shared" ca="1" si="297"/>
        <v>25.100000000000026</v>
      </c>
      <c r="C705" s="342"/>
      <c r="D705" s="359">
        <f t="shared" ca="1" si="298"/>
        <v>-0.34779186234391218</v>
      </c>
      <c r="E705" s="360">
        <f t="shared" ca="1" si="299"/>
        <v>-9.5829217599051493</v>
      </c>
      <c r="F705" s="357">
        <f t="shared" ca="1" si="300"/>
        <v>9.5892308678004134</v>
      </c>
      <c r="G705" s="359">
        <f t="shared" ca="1" si="301"/>
        <v>37.627347598106638</v>
      </c>
      <c r="H705" s="360">
        <f t="shared" ca="1" si="302"/>
        <v>-25.548428962918784</v>
      </c>
      <c r="I705" s="357">
        <f t="shared" ca="1" si="303"/>
        <v>45.481199519604239</v>
      </c>
      <c r="J705" s="359">
        <f t="shared" ca="1" si="304"/>
        <v>1067.0161059103318</v>
      </c>
      <c r="K705" s="360">
        <f t="shared" ca="1" si="305"/>
        <v>2459.5640091684759</v>
      </c>
      <c r="L705" s="357">
        <f t="shared" ca="1" si="290"/>
        <v>2681.0405602058604</v>
      </c>
      <c r="M705" s="359">
        <f t="shared" ca="1" si="306"/>
        <v>-0.59648270893173283</v>
      </c>
      <c r="N705" s="357">
        <f t="shared" ca="1" si="307"/>
        <v>-34.175941774318623</v>
      </c>
      <c r="O705" s="343"/>
      <c r="P705" s="363">
        <f t="shared" ca="1" si="308"/>
        <v>23</v>
      </c>
      <c r="Q705" s="357">
        <f t="shared" ca="1" si="309"/>
        <v>0</v>
      </c>
      <c r="R705" s="359">
        <f t="shared" ca="1" si="310"/>
        <v>0</v>
      </c>
      <c r="S705" s="360">
        <f t="shared" ca="1" si="311"/>
        <v>10.637999999999975</v>
      </c>
      <c r="T705" s="357">
        <f t="shared" ca="1" si="291"/>
        <v>104.35877999999975</v>
      </c>
      <c r="U705" s="364">
        <f t="shared" ca="1" si="292"/>
        <v>0</v>
      </c>
      <c r="V705" s="359">
        <f t="shared" ca="1" si="293"/>
        <v>0.9566986286998781</v>
      </c>
      <c r="W705" s="357">
        <f t="shared" ca="1" si="294"/>
        <v>4.518966424975309</v>
      </c>
      <c r="X705" s="343"/>
      <c r="Y705" s="367" t="str">
        <f t="shared" ca="1" si="312"/>
        <v/>
      </c>
      <c r="Z705" s="368" t="str">
        <f t="shared" ca="1" si="313"/>
        <v/>
      </c>
      <c r="AA705" s="369" t="str">
        <f t="shared" ca="1" si="314"/>
        <v/>
      </c>
      <c r="AB705" s="344"/>
      <c r="AC705" s="363" t="e">
        <f t="shared" ca="1" si="315"/>
        <v>#N/A</v>
      </c>
      <c r="AD705" s="376" t="e">
        <f t="shared" ca="1" si="316"/>
        <v>#N/A</v>
      </c>
      <c r="AE705" s="377" t="e">
        <f t="shared" ca="1" si="295"/>
        <v>#N/A</v>
      </c>
      <c r="AF705" s="344"/>
      <c r="AG705" s="359">
        <f t="shared" ca="1" si="317"/>
        <v>4.9477926537618906</v>
      </c>
      <c r="AH705" s="357">
        <f t="shared" ca="1" si="318"/>
        <v>-0.41535973160288636</v>
      </c>
    </row>
    <row r="706" spans="1:34" x14ac:dyDescent="0.25">
      <c r="A706" s="402">
        <f t="shared" ca="1" si="296"/>
        <v>0.1</v>
      </c>
      <c r="B706" s="357">
        <f t="shared" ca="1" si="297"/>
        <v>25.200000000000028</v>
      </c>
      <c r="C706" s="342"/>
      <c r="D706" s="359">
        <f t="shared" ca="1" si="298"/>
        <v>-0.35143970345860287</v>
      </c>
      <c r="E706" s="360">
        <f t="shared" ca="1" si="299"/>
        <v>-9.5713774854804505</v>
      </c>
      <c r="F706" s="357">
        <f t="shared" ca="1" si="300"/>
        <v>9.5778273546107062</v>
      </c>
      <c r="G706" s="359">
        <f t="shared" ca="1" si="301"/>
        <v>37.592203627760775</v>
      </c>
      <c r="H706" s="360">
        <f t="shared" ca="1" si="302"/>
        <v>-26.50556671146683</v>
      </c>
      <c r="I706" s="357">
        <f t="shared" ca="1" si="303"/>
        <v>45.996943814638911</v>
      </c>
      <c r="J706" s="359">
        <f t="shared" ca="1" si="304"/>
        <v>1070.7770834716252</v>
      </c>
      <c r="K706" s="360">
        <f t="shared" ca="1" si="305"/>
        <v>2456.9613093847565</v>
      </c>
      <c r="L706" s="357">
        <f t="shared" ca="1" si="290"/>
        <v>2680.1534355893987</v>
      </c>
      <c r="M706" s="359">
        <f t="shared" ca="1" si="306"/>
        <v>-0.61412822089265462</v>
      </c>
      <c r="N706" s="357">
        <f t="shared" ca="1" si="307"/>
        <v>-35.186955137027056</v>
      </c>
      <c r="O706" s="343"/>
      <c r="P706" s="363">
        <f t="shared" ca="1" si="308"/>
        <v>23</v>
      </c>
      <c r="Q706" s="357">
        <f t="shared" ca="1" si="309"/>
        <v>0</v>
      </c>
      <c r="R706" s="359">
        <f t="shared" ca="1" si="310"/>
        <v>0</v>
      </c>
      <c r="S706" s="360">
        <f t="shared" ca="1" si="311"/>
        <v>10.637999999999975</v>
      </c>
      <c r="T706" s="357">
        <f t="shared" ca="1" si="291"/>
        <v>104.35877999999975</v>
      </c>
      <c r="U706" s="364">
        <f t="shared" ca="1" si="292"/>
        <v>0</v>
      </c>
      <c r="V706" s="359">
        <f t="shared" ca="1" si="293"/>
        <v>0.95695148154451837</v>
      </c>
      <c r="W706" s="357">
        <f t="shared" ca="1" si="294"/>
        <v>4.623256780363949</v>
      </c>
      <c r="X706" s="343"/>
      <c r="Y706" s="367" t="str">
        <f t="shared" ca="1" si="312"/>
        <v/>
      </c>
      <c r="Z706" s="368" t="str">
        <f t="shared" ca="1" si="313"/>
        <v/>
      </c>
      <c r="AA706" s="369" t="str">
        <f t="shared" ca="1" si="314"/>
        <v/>
      </c>
      <c r="AB706" s="344"/>
      <c r="AC706" s="363" t="e">
        <f t="shared" ca="1" si="315"/>
        <v>#N/A</v>
      </c>
      <c r="AD706" s="376" t="e">
        <f t="shared" ca="1" si="316"/>
        <v>#N/A</v>
      </c>
      <c r="AE706" s="377" t="e">
        <f t="shared" ca="1" si="295"/>
        <v>#N/A</v>
      </c>
      <c r="AF706" s="344"/>
      <c r="AG706" s="359">
        <f t="shared" ca="1" si="317"/>
        <v>5.085835825054728</v>
      </c>
      <c r="AH706" s="357">
        <f t="shared" ca="1" si="318"/>
        <v>-0.42479473820034963</v>
      </c>
    </row>
    <row r="707" spans="1:34" x14ac:dyDescent="0.25">
      <c r="A707" s="402">
        <f t="shared" ca="1" si="296"/>
        <v>0.1</v>
      </c>
      <c r="B707" s="357">
        <f t="shared" ca="1" si="297"/>
        <v>25.300000000000029</v>
      </c>
      <c r="C707" s="342"/>
      <c r="D707" s="359">
        <f t="shared" ca="1" si="298"/>
        <v>-0.35518681600420932</v>
      </c>
      <c r="E707" s="360">
        <f t="shared" ca="1" si="299"/>
        <v>-9.5595643527616794</v>
      </c>
      <c r="F707" s="357">
        <f t="shared" ca="1" si="300"/>
        <v>9.5661605824309177</v>
      </c>
      <c r="G707" s="359">
        <f t="shared" ca="1" si="301"/>
        <v>37.556684946160352</v>
      </c>
      <c r="H707" s="360">
        <f t="shared" ca="1" si="302"/>
        <v>-27.461523146742998</v>
      </c>
      <c r="I707" s="357">
        <f t="shared" ca="1" si="303"/>
        <v>46.525690082837556</v>
      </c>
      <c r="J707" s="359">
        <f t="shared" ca="1" si="304"/>
        <v>1074.5345279003213</v>
      </c>
      <c r="K707" s="360">
        <f t="shared" ca="1" si="305"/>
        <v>2454.2629548918462</v>
      </c>
      <c r="L707" s="357">
        <f t="shared" ca="1" si="290"/>
        <v>2679.1847833631077</v>
      </c>
      <c r="M707" s="359">
        <f t="shared" ca="1" si="306"/>
        <v>-0.63136144311786546</v>
      </c>
      <c r="N707" s="357">
        <f t="shared" ca="1" si="307"/>
        <v>-36.174346037942684</v>
      </c>
      <c r="O707" s="343"/>
      <c r="P707" s="363">
        <f t="shared" ca="1" si="308"/>
        <v>23</v>
      </c>
      <c r="Q707" s="357">
        <f t="shared" ca="1" si="309"/>
        <v>0</v>
      </c>
      <c r="R707" s="359">
        <f t="shared" ca="1" si="310"/>
        <v>0</v>
      </c>
      <c r="S707" s="360">
        <f t="shared" ca="1" si="311"/>
        <v>10.637999999999975</v>
      </c>
      <c r="T707" s="357">
        <f t="shared" ca="1" si="291"/>
        <v>104.35877999999975</v>
      </c>
      <c r="U707" s="364">
        <f t="shared" ca="1" si="292"/>
        <v>0</v>
      </c>
      <c r="V707" s="359">
        <f t="shared" ca="1" si="293"/>
        <v>0.95721368915272942</v>
      </c>
      <c r="W707" s="357">
        <f t="shared" ca="1" si="294"/>
        <v>4.7314547435443037</v>
      </c>
      <c r="X707" s="343"/>
      <c r="Y707" s="367" t="str">
        <f t="shared" ca="1" si="312"/>
        <v/>
      </c>
      <c r="Z707" s="368" t="str">
        <f t="shared" ca="1" si="313"/>
        <v/>
      </c>
      <c r="AA707" s="369" t="str">
        <f t="shared" ca="1" si="314"/>
        <v/>
      </c>
      <c r="AB707" s="344"/>
      <c r="AC707" s="363" t="e">
        <f t="shared" ca="1" si="315"/>
        <v>#N/A</v>
      </c>
      <c r="AD707" s="376" t="e">
        <f t="shared" ca="1" si="316"/>
        <v>#N/A</v>
      </c>
      <c r="AE707" s="377" t="e">
        <f t="shared" ca="1" si="295"/>
        <v>#N/A</v>
      </c>
      <c r="AF707" s="344"/>
      <c r="AG707" s="359">
        <f t="shared" ca="1" si="317"/>
        <v>5.2183774760958634</v>
      </c>
      <c r="AH707" s="357">
        <f t="shared" ca="1" si="318"/>
        <v>-0.43459830610678324</v>
      </c>
    </row>
    <row r="708" spans="1:34" x14ac:dyDescent="0.25">
      <c r="A708" s="402">
        <f t="shared" ca="1" si="296"/>
        <v>0.1</v>
      </c>
      <c r="B708" s="357">
        <f t="shared" ca="1" si="297"/>
        <v>25.400000000000031</v>
      </c>
      <c r="C708" s="342"/>
      <c r="D708" s="359">
        <f t="shared" ca="1" si="298"/>
        <v>-0.35902867140789463</v>
      </c>
      <c r="E708" s="360">
        <f t="shared" ca="1" si="299"/>
        <v>-9.5474775174021254</v>
      </c>
      <c r="F708" s="357">
        <f t="shared" ca="1" si="300"/>
        <v>9.5542256898291846</v>
      </c>
      <c r="G708" s="359">
        <f t="shared" ca="1" si="301"/>
        <v>37.520782079019561</v>
      </c>
      <c r="H708" s="360">
        <f t="shared" ca="1" si="302"/>
        <v>-28.416270898483212</v>
      </c>
      <c r="I708" s="357">
        <f t="shared" ca="1" si="303"/>
        <v>47.066904929018428</v>
      </c>
      <c r="J708" s="359">
        <f t="shared" ca="1" si="304"/>
        <v>1078.2884012515804</v>
      </c>
      <c r="K708" s="360">
        <f t="shared" ca="1" si="305"/>
        <v>2451.4690651895849</v>
      </c>
      <c r="L708" s="357">
        <f t="shared" ref="L708:L771" ca="1" si="319">SQRT(pos_x^2+pos_z^2)</f>
        <v>2678.1348834319729</v>
      </c>
      <c r="M708" s="359">
        <f t="shared" ca="1" si="306"/>
        <v>-0.64818695501174017</v>
      </c>
      <c r="N708" s="357">
        <f t="shared" ca="1" si="307"/>
        <v>-37.138376857608876</v>
      </c>
      <c r="O708" s="343"/>
      <c r="P708" s="363">
        <f t="shared" ca="1" si="308"/>
        <v>23</v>
      </c>
      <c r="Q708" s="357">
        <f t="shared" ca="1" si="309"/>
        <v>0</v>
      </c>
      <c r="R708" s="359">
        <f t="shared" ca="1" si="310"/>
        <v>0</v>
      </c>
      <c r="S708" s="360">
        <f t="shared" ca="1" si="311"/>
        <v>10.637999999999975</v>
      </c>
      <c r="T708" s="357">
        <f t="shared" ref="T708:T771" ca="1" si="320">m*g</f>
        <v>104.35877999999975</v>
      </c>
      <c r="U708" s="364">
        <f t="shared" ref="U708:U771" ca="1" si="321">IF(pos_xz&lt;L_rampe,Poids*COS(Beta),0)</f>
        <v>0</v>
      </c>
      <c r="V708" s="359">
        <f t="shared" ref="V708:V771" ca="1" si="322">Rho_moyen*(20000-Alt_rampe-pos_z)/(20000+Alt_rampe+pos_z)</f>
        <v>0.95748524663240064</v>
      </c>
      <c r="W708" s="357">
        <f t="shared" ref="W708:W771" ca="1" si="323">1/2*Rho*Sref*Cx*vit_xz^2</f>
        <v>4.8435469579535297</v>
      </c>
      <c r="X708" s="343"/>
      <c r="Y708" s="367" t="str">
        <f t="shared" ca="1" si="312"/>
        <v/>
      </c>
      <c r="Z708" s="368" t="str">
        <f t="shared" ca="1" si="313"/>
        <v/>
      </c>
      <c r="AA708" s="369" t="str">
        <f t="shared" ca="1" si="314"/>
        <v/>
      </c>
      <c r="AB708" s="344"/>
      <c r="AC708" s="363" t="e">
        <f t="shared" ca="1" si="315"/>
        <v>#N/A</v>
      </c>
      <c r="AD708" s="376" t="e">
        <f t="shared" ca="1" si="316"/>
        <v>#N/A</v>
      </c>
      <c r="AE708" s="377" t="e">
        <f t="shared" ref="AE708:AE771" ca="1" si="324">IF(t&lt;T_para, pos_z, NA())</f>
        <v>#N/A</v>
      </c>
      <c r="AF708" s="344"/>
      <c r="AG708" s="359">
        <f t="shared" ca="1" si="317"/>
        <v>5.3455273354491162</v>
      </c>
      <c r="AH708" s="357">
        <f t="shared" ca="1" si="318"/>
        <v>-0.44476919943074966</v>
      </c>
    </row>
    <row r="709" spans="1:34" x14ac:dyDescent="0.25">
      <c r="A709" s="402">
        <f t="shared" ref="A709:A772" ca="1" si="325">IF(B708+0.01&lt;=T_ini+ROUNDUP(Temps_fin_propu,0), 0.01, IF(K708&gt;0, 0.1, 0.0001))</f>
        <v>0.1</v>
      </c>
      <c r="B709" s="357">
        <f t="shared" ref="B709:B772" ca="1" si="326">B708+pas</f>
        <v>25.500000000000032</v>
      </c>
      <c r="C709" s="342"/>
      <c r="D709" s="359">
        <f t="shared" ref="D709:D772" ca="1" si="327">IF(AND(L708&lt;L_rampe,Poussee&lt;Poids*SIN(M708)),0,(-W708+Poussee)/m*COS(M708)-U708/m*SIN(M708))</f>
        <v>-0.36296083910064153</v>
      </c>
      <c r="E709" s="360">
        <f t="shared" ref="E709:E772" ca="1" si="328">IF(AND(L708&lt;L_rampe,Poussee&lt;Poids*SIN(M708)),0,(-W708+Poussee)/m*SIN(M708)+U708/m*COS(M708)-Poids/m)</f>
        <v>-9.5351125121085403</v>
      </c>
      <c r="F709" s="357">
        <f t="shared" ref="F709:F772" ca="1" si="329">SQRT(acc_x^2+acc_z^2)</f>
        <v>9.5420181926723178</v>
      </c>
      <c r="G709" s="359">
        <f t="shared" ref="G709:G772" ca="1" si="330">G708+acc_x*pas</f>
        <v>37.484485995109495</v>
      </c>
      <c r="H709" s="360">
        <f t="shared" ref="H709:H772" ca="1" si="331">H708+acc_z*pas</f>
        <v>-29.369782149694068</v>
      </c>
      <c r="I709" s="357">
        <f t="shared" ref="I709:I772" ca="1" si="332">SQRT(vit_x^2+vit_z^2)</f>
        <v>47.620067133909508</v>
      </c>
      <c r="J709" s="359">
        <f t="shared" ref="J709:J772" ca="1" si="333">J708+0.5*(vit_x+G708)*pas*(K708&gt;=0)</f>
        <v>1082.0386646552868</v>
      </c>
      <c r="K709" s="360">
        <f t="shared" ref="K709:K772" ca="1" si="334">K708+0.5*(vit_z+H708)*pas</f>
        <v>2448.5797625371761</v>
      </c>
      <c r="L709" s="357">
        <f t="shared" ca="1" si="319"/>
        <v>2677.0040204145398</v>
      </c>
      <c r="M709" s="359">
        <f t="shared" ref="M709:M772" ca="1" si="335">IF(AND(L708&gt;L_rampe,G709&gt;0),ATAN2(G709,H709),$M$4)</f>
        <v>-0.66461004107450683</v>
      </c>
      <c r="N709" s="357">
        <f t="shared" ref="N709:N772" ca="1" si="336">DEGREES(Beta)</f>
        <v>-38.079350375585527</v>
      </c>
      <c r="O709" s="343"/>
      <c r="P709" s="363">
        <f t="shared" ref="P709:P772" ca="1" si="337">MATCH(t-pas/2-T_ini,CdP_t)</f>
        <v>23</v>
      </c>
      <c r="Q709" s="357">
        <f t="shared" ref="Q709:Q772" ca="1" si="338">(INDEX(CdP,2,i_P+1)-INDEX(CdP,2,i_P+0))/(INDEX(CdP,1,i_P+1)-INDEX(CdP,1,i_P+0))*(t-pas/2-T_ini-INDEX(CdP,1,i_P+0))+INDEX(CdP,2,i_P+0)</f>
        <v>0</v>
      </c>
      <c r="R709" s="359">
        <f t="shared" ref="R709:R772" ca="1" si="339">Poussee/(g*ISP)</f>
        <v>0</v>
      </c>
      <c r="S709" s="360">
        <f t="shared" ref="S709:S772" ca="1" si="340">S708-Débit*pas</f>
        <v>10.637999999999975</v>
      </c>
      <c r="T709" s="357">
        <f t="shared" ca="1" si="320"/>
        <v>104.35877999999975</v>
      </c>
      <c r="U709" s="364">
        <f t="shared" ca="1" si="321"/>
        <v>0</v>
      </c>
      <c r="V709" s="359">
        <f t="shared" ca="1" si="322"/>
        <v>0.95776614905378477</v>
      </c>
      <c r="W709" s="357">
        <f t="shared" ca="1" si="323"/>
        <v>4.9595198495094648</v>
      </c>
      <c r="X709" s="343"/>
      <c r="Y709" s="367" t="str">
        <f t="shared" ref="Y709:Y772" ca="1" si="341">IF(AND(pos_z&lt;=0,K708&gt;0),"Impact balistique","") &amp; IF(AND(H710&lt;0,vit_z&gt;=0),"Apogée","") &amp; IF(AND(Poussee=0,Q708&gt;0),"Fin de propulsion","") &amp; IF(AND(L710&gt;L_rampe,pos_xz&lt;=L_rampe),"Sortie de rampe","")</f>
        <v/>
      </c>
      <c r="Z709" s="368" t="str">
        <f t="shared" ref="Z709:Z772" ca="1" si="342">IF(ABS(t-T_para)&lt;pas/2,"Para","")</f>
        <v/>
      </c>
      <c r="AA709" s="369" t="str">
        <f t="shared" ref="AA709:AA772" ca="1" si="343">IF(ABS(t-T_satellite)&lt;pas/2,"Satellite","")</f>
        <v/>
      </c>
      <c r="AB709" s="344"/>
      <c r="AC709" s="363" t="e">
        <f t="shared" ref="AC709:AC772" ca="1" si="344">IF(ABS(t-ROUND(t,0))&lt;0.001,t,NA())</f>
        <v>#N/A</v>
      </c>
      <c r="AD709" s="376" t="e">
        <f t="shared" ref="AD709:AD772" ca="1" si="345">IF(ABS(t-ROUND(t,0))&lt;0.001,pos_x,NA())</f>
        <v>#N/A</v>
      </c>
      <c r="AE709" s="377" t="e">
        <f t="shared" ca="1" si="324"/>
        <v>#N/A</v>
      </c>
      <c r="AF709" s="344"/>
      <c r="AG709" s="359">
        <f t="shared" ref="AG709:AG772" ca="1" si="346">IF(AND(L708&lt;L_rampe,Poussee&lt;Poids*SIN(M708)),0,(-W708+Poussee)/m-Poids*SIN(M708)/m)</f>
        <v>5.4674036041368064</v>
      </c>
      <c r="AH709" s="357">
        <f t="shared" ref="AH709:AH772" ca="1" si="347">IF(AND(L708&lt;L_rampe,Poussee&lt;Poids*SIN(M708)), g*SIN(M708), (-W708+Poussee)/m)</f>
        <v>-0.45530616262018625</v>
      </c>
    </row>
    <row r="710" spans="1:34" x14ac:dyDescent="0.25">
      <c r="A710" s="402">
        <f t="shared" ca="1" si="325"/>
        <v>0.1</v>
      </c>
      <c r="B710" s="357">
        <f t="shared" ca="1" si="326"/>
        <v>25.600000000000033</v>
      </c>
      <c r="C710" s="342"/>
      <c r="D710" s="359">
        <f t="shared" ca="1" si="327"/>
        <v>-0.36697899200244188</v>
      </c>
      <c r="E710" s="360">
        <f t="shared" ca="1" si="328"/>
        <v>-9.5224652302813428</v>
      </c>
      <c r="F710" s="357">
        <f t="shared" ca="1" si="329"/>
        <v>9.5295339677493285</v>
      </c>
      <c r="G710" s="359">
        <f t="shared" ca="1" si="330"/>
        <v>37.447788095909253</v>
      </c>
      <c r="H710" s="360">
        <f t="shared" ca="1" si="331"/>
        <v>-30.322028672722201</v>
      </c>
      <c r="I710" s="357">
        <f t="shared" ca="1" si="332"/>
        <v>48.18466826808617</v>
      </c>
      <c r="J710" s="359">
        <f t="shared" ca="1" si="333"/>
        <v>1085.7852783598378</v>
      </c>
      <c r="K710" s="360">
        <f t="shared" ca="1" si="334"/>
        <v>2445.5951719960553</v>
      </c>
      <c r="L710" s="357">
        <f t="shared" ca="1" si="319"/>
        <v>2675.7924837313835</v>
      </c>
      <c r="M710" s="359">
        <f t="shared" ca="1" si="335"/>
        <v>-0.68063659991107106</v>
      </c>
      <c r="N710" s="357">
        <f t="shared" ca="1" si="336"/>
        <v>-38.997604557038756</v>
      </c>
      <c r="O710" s="343"/>
      <c r="P710" s="363">
        <f t="shared" ca="1" si="337"/>
        <v>23</v>
      </c>
      <c r="Q710" s="357">
        <f t="shared" ca="1" si="338"/>
        <v>0</v>
      </c>
      <c r="R710" s="359">
        <f t="shared" ca="1" si="339"/>
        <v>0</v>
      </c>
      <c r="S710" s="360">
        <f t="shared" ca="1" si="340"/>
        <v>10.637999999999975</v>
      </c>
      <c r="T710" s="357">
        <f t="shared" ca="1" si="320"/>
        <v>104.35877999999975</v>
      </c>
      <c r="U710" s="364">
        <f t="shared" ca="1" si="321"/>
        <v>0</v>
      </c>
      <c r="V710" s="359">
        <f t="shared" ca="1" si="322"/>
        <v>0.95805639144442001</v>
      </c>
      <c r="W710" s="357">
        <f t="shared" ca="1" si="323"/>
        <v>5.0793596188778896</v>
      </c>
      <c r="X710" s="343"/>
      <c r="Y710" s="367" t="str">
        <f t="shared" ca="1" si="341"/>
        <v/>
      </c>
      <c r="Z710" s="368" t="str">
        <f t="shared" ca="1" si="342"/>
        <v/>
      </c>
      <c r="AA710" s="369" t="str">
        <f t="shared" ca="1" si="343"/>
        <v/>
      </c>
      <c r="AB710" s="344"/>
      <c r="AC710" s="363" t="e">
        <f t="shared" ca="1" si="344"/>
        <v>#N/A</v>
      </c>
      <c r="AD710" s="376" t="e">
        <f t="shared" ca="1" si="345"/>
        <v>#N/A</v>
      </c>
      <c r="AE710" s="377" t="e">
        <f t="shared" ca="1" si="324"/>
        <v>#N/A</v>
      </c>
      <c r="AF710" s="344"/>
      <c r="AG710" s="359">
        <f t="shared" ca="1" si="346"/>
        <v>5.5841313643556223</v>
      </c>
      <c r="AH710" s="357">
        <f t="shared" ca="1" si="347"/>
        <v>-0.46620791967564168</v>
      </c>
    </row>
    <row r="711" spans="1:34" x14ac:dyDescent="0.25">
      <c r="A711" s="402">
        <f t="shared" ca="1" si="325"/>
        <v>0.1</v>
      </c>
      <c r="B711" s="357">
        <f t="shared" ca="1" si="326"/>
        <v>25.700000000000035</v>
      </c>
      <c r="C711" s="342"/>
      <c r="D711" s="359">
        <f t="shared" ca="1" si="327"/>
        <v>-0.37107891083443573</v>
      </c>
      <c r="E711" s="360">
        <f t="shared" ca="1" si="328"/>
        <v>-9.5095319097259736</v>
      </c>
      <c r="F711" s="357">
        <f t="shared" ca="1" si="329"/>
        <v>9.5167692364668905</v>
      </c>
      <c r="G711" s="359">
        <f t="shared" ca="1" si="330"/>
        <v>37.410680204825809</v>
      </c>
      <c r="H711" s="360">
        <f t="shared" ca="1" si="331"/>
        <v>-31.272981863694799</v>
      </c>
      <c r="I711" s="357">
        <f t="shared" ca="1" si="332"/>
        <v>48.760213166420115</v>
      </c>
      <c r="J711" s="359">
        <f t="shared" ca="1" si="333"/>
        <v>1089.5282017748746</v>
      </c>
      <c r="K711" s="360">
        <f t="shared" ca="1" si="334"/>
        <v>2442.5154214692343</v>
      </c>
      <c r="L711" s="357">
        <f t="shared" ca="1" si="319"/>
        <v>2674.5005676906899</v>
      </c>
      <c r="M711" s="359">
        <f t="shared" ca="1" si="335"/>
        <v>-0.69627305877264645</v>
      </c>
      <c r="N711" s="357">
        <f t="shared" ca="1" si="336"/>
        <v>-39.893507656336958</v>
      </c>
      <c r="O711" s="343"/>
      <c r="P711" s="363">
        <f t="shared" ca="1" si="337"/>
        <v>23</v>
      </c>
      <c r="Q711" s="357">
        <f t="shared" ca="1" si="338"/>
        <v>0</v>
      </c>
      <c r="R711" s="359">
        <f t="shared" ca="1" si="339"/>
        <v>0</v>
      </c>
      <c r="S711" s="360">
        <f t="shared" ca="1" si="340"/>
        <v>10.637999999999975</v>
      </c>
      <c r="T711" s="357">
        <f t="shared" ca="1" si="320"/>
        <v>104.35877999999975</v>
      </c>
      <c r="U711" s="364">
        <f t="shared" ca="1" si="321"/>
        <v>0</v>
      </c>
      <c r="V711" s="359">
        <f t="shared" ca="1" si="322"/>
        <v>0.95835596878436458</v>
      </c>
      <c r="W711" s="357">
        <f t="shared" ca="1" si="323"/>
        <v>5.2030522343473633</v>
      </c>
      <c r="X711" s="343"/>
      <c r="Y711" s="367" t="str">
        <f t="shared" ca="1" si="341"/>
        <v/>
      </c>
      <c r="Z711" s="368" t="str">
        <f t="shared" ca="1" si="342"/>
        <v/>
      </c>
      <c r="AA711" s="369" t="str">
        <f t="shared" ca="1" si="343"/>
        <v/>
      </c>
      <c r="AB711" s="344"/>
      <c r="AC711" s="363" t="e">
        <f t="shared" ca="1" si="344"/>
        <v>#N/A</v>
      </c>
      <c r="AD711" s="376" t="e">
        <f t="shared" ca="1" si="345"/>
        <v>#N/A</v>
      </c>
      <c r="AE711" s="377" t="e">
        <f t="shared" ca="1" si="324"/>
        <v>#N/A</v>
      </c>
      <c r="AF711" s="344"/>
      <c r="AG711" s="359">
        <f t="shared" ca="1" si="346"/>
        <v>5.6958411186751912</v>
      </c>
      <c r="AH711" s="357">
        <f t="shared" ca="1" si="347"/>
        <v>-0.47747317342337858</v>
      </c>
    </row>
    <row r="712" spans="1:34" x14ac:dyDescent="0.25">
      <c r="A712" s="402">
        <f t="shared" ca="1" si="325"/>
        <v>0.1</v>
      </c>
      <c r="B712" s="357">
        <f t="shared" ca="1" si="326"/>
        <v>25.800000000000036</v>
      </c>
      <c r="C712" s="342"/>
      <c r="D712" s="359">
        <f t="shared" ca="1" si="327"/>
        <v>-0.37525648736224715</v>
      </c>
      <c r="E712" s="360">
        <f t="shared" ca="1" si="328"/>
        <v>-9.4963091165607967</v>
      </c>
      <c r="F712" s="357">
        <f t="shared" ca="1" si="329"/>
        <v>9.5037205487421161</v>
      </c>
      <c r="G712" s="359">
        <f t="shared" ca="1" si="330"/>
        <v>37.373154556089581</v>
      </c>
      <c r="H712" s="360">
        <f t="shared" ca="1" si="331"/>
        <v>-32.222612775350882</v>
      </c>
      <c r="I712" s="357">
        <f t="shared" ca="1" si="332"/>
        <v>49.346220276162647</v>
      </c>
      <c r="J712" s="359">
        <f t="shared" ca="1" si="333"/>
        <v>1093.2673935129203</v>
      </c>
      <c r="K712" s="360">
        <f t="shared" ca="1" si="334"/>
        <v>2439.3406417372821</v>
      </c>
      <c r="L712" s="357">
        <f t="shared" ca="1" si="319"/>
        <v>2673.1285715711074</v>
      </c>
      <c r="M712" s="359">
        <f t="shared" ca="1" si="335"/>
        <v>-0.71152629387185851</v>
      </c>
      <c r="N712" s="357">
        <f t="shared" ca="1" si="336"/>
        <v>-40.767453651442622</v>
      </c>
      <c r="O712" s="343"/>
      <c r="P712" s="363">
        <f t="shared" ca="1" si="337"/>
        <v>23</v>
      </c>
      <c r="Q712" s="357">
        <f t="shared" ca="1" si="338"/>
        <v>0</v>
      </c>
      <c r="R712" s="359">
        <f t="shared" ca="1" si="339"/>
        <v>0</v>
      </c>
      <c r="S712" s="360">
        <f t="shared" ca="1" si="340"/>
        <v>10.637999999999975</v>
      </c>
      <c r="T712" s="357">
        <f t="shared" ca="1" si="320"/>
        <v>104.35877999999975</v>
      </c>
      <c r="U712" s="364">
        <f t="shared" ca="1" si="321"/>
        <v>0</v>
      </c>
      <c r="V712" s="359">
        <f t="shared" ca="1" si="322"/>
        <v>0.95866487600173789</v>
      </c>
      <c r="W712" s="357">
        <f t="shared" ca="1" si="323"/>
        <v>5.3305834252827973</v>
      </c>
      <c r="X712" s="343"/>
      <c r="Y712" s="367" t="str">
        <f t="shared" ca="1" si="341"/>
        <v/>
      </c>
      <c r="Z712" s="368" t="str">
        <f t="shared" ca="1" si="342"/>
        <v/>
      </c>
      <c r="AA712" s="369" t="str">
        <f t="shared" ca="1" si="343"/>
        <v/>
      </c>
      <c r="AB712" s="344"/>
      <c r="AC712" s="363" t="e">
        <f t="shared" ca="1" si="344"/>
        <v>#N/A</v>
      </c>
      <c r="AD712" s="376" t="e">
        <f t="shared" ca="1" si="345"/>
        <v>#N/A</v>
      </c>
      <c r="AE712" s="377" t="e">
        <f t="shared" ca="1" si="324"/>
        <v>#N/A</v>
      </c>
      <c r="AF712" s="344"/>
      <c r="AG712" s="359">
        <f t="shared" ca="1" si="346"/>
        <v>5.8026674609700626</v>
      </c>
      <c r="AH712" s="357">
        <f t="shared" ca="1" si="347"/>
        <v>-0.48910060484558898</v>
      </c>
    </row>
    <row r="713" spans="1:34" x14ac:dyDescent="0.25">
      <c r="A713" s="402">
        <f t="shared" ca="1" si="325"/>
        <v>0.1</v>
      </c>
      <c r="B713" s="357">
        <f t="shared" ca="1" si="326"/>
        <v>25.900000000000038</v>
      </c>
      <c r="C713" s="342"/>
      <c r="D713" s="359">
        <f t="shared" ca="1" si="327"/>
        <v>-0.37950772667421612</v>
      </c>
      <c r="E713" s="360">
        <f t="shared" ca="1" si="328"/>
        <v>-9.4827937294261826</v>
      </c>
      <c r="F713" s="357">
        <f t="shared" ca="1" si="329"/>
        <v>9.4903847671972699</v>
      </c>
      <c r="G713" s="359">
        <f t="shared" ca="1" si="330"/>
        <v>37.335203783422159</v>
      </c>
      <c r="H713" s="360">
        <f t="shared" ca="1" si="331"/>
        <v>-33.170892148293497</v>
      </c>
      <c r="I713" s="357">
        <f t="shared" ca="1" si="332"/>
        <v>49.942221891535617</v>
      </c>
      <c r="J713" s="359">
        <f t="shared" ca="1" si="333"/>
        <v>1097.0028114298959</v>
      </c>
      <c r="K713" s="360">
        <f t="shared" ca="1" si="334"/>
        <v>2436.0709664911001</v>
      </c>
      <c r="L713" s="357">
        <f t="shared" ca="1" si="319"/>
        <v>2671.6767997020111</v>
      </c>
      <c r="M713" s="359">
        <f t="shared" ca="1" si="335"/>
        <v>-0.7264035565822573</v>
      </c>
      <c r="N713" s="357">
        <f t="shared" ca="1" si="336"/>
        <v>-41.619858015455833</v>
      </c>
      <c r="O713" s="343"/>
      <c r="P713" s="363">
        <f t="shared" ca="1" si="337"/>
        <v>23</v>
      </c>
      <c r="Q713" s="357">
        <f t="shared" ca="1" si="338"/>
        <v>0</v>
      </c>
      <c r="R713" s="359">
        <f t="shared" ca="1" si="339"/>
        <v>0</v>
      </c>
      <c r="S713" s="360">
        <f t="shared" ca="1" si="340"/>
        <v>10.637999999999975</v>
      </c>
      <c r="T713" s="357">
        <f t="shared" ca="1" si="320"/>
        <v>104.35877999999975</v>
      </c>
      <c r="U713" s="364">
        <f t="shared" ca="1" si="321"/>
        <v>0</v>
      </c>
      <c r="V713" s="359">
        <f t="shared" ca="1" si="322"/>
        <v>0.9589831079685418</v>
      </c>
      <c r="W713" s="357">
        <f t="shared" ca="1" si="323"/>
        <v>5.4619386761294155</v>
      </c>
      <c r="X713" s="343"/>
      <c r="Y713" s="367" t="str">
        <f t="shared" ca="1" si="341"/>
        <v/>
      </c>
      <c r="Z713" s="368" t="str">
        <f t="shared" ca="1" si="342"/>
        <v/>
      </c>
      <c r="AA713" s="369" t="str">
        <f t="shared" ca="1" si="343"/>
        <v/>
      </c>
      <c r="AB713" s="344"/>
      <c r="AC713" s="363" t="e">
        <f t="shared" ca="1" si="344"/>
        <v>#N/A</v>
      </c>
      <c r="AD713" s="376" t="e">
        <f t="shared" ca="1" si="345"/>
        <v>#N/A</v>
      </c>
      <c r="AE713" s="377" t="e">
        <f t="shared" ca="1" si="324"/>
        <v>#N/A</v>
      </c>
      <c r="AF713" s="344"/>
      <c r="AG713" s="359">
        <f t="shared" ca="1" si="346"/>
        <v>5.9047478776880755</v>
      </c>
      <c r="AH713" s="357">
        <f t="shared" ca="1" si="347"/>
        <v>-0.5010888724650131</v>
      </c>
    </row>
    <row r="714" spans="1:34" x14ac:dyDescent="0.25">
      <c r="A714" s="402">
        <f t="shared" ca="1" si="325"/>
        <v>0.1</v>
      </c>
      <c r="B714" s="357">
        <f t="shared" ca="1" si="326"/>
        <v>26.000000000000039</v>
      </c>
      <c r="C714" s="342"/>
      <c r="D714" s="359">
        <f t="shared" ca="1" si="327"/>
        <v>-0.38382874859585242</v>
      </c>
      <c r="E714" s="360">
        <f t="shared" ca="1" si="328"/>
        <v>-9.4689829240803345</v>
      </c>
      <c r="F714" s="357">
        <f t="shared" ca="1" si="329"/>
        <v>9.4767590517419826</v>
      </c>
      <c r="G714" s="359">
        <f t="shared" ca="1" si="330"/>
        <v>37.296820908562573</v>
      </c>
      <c r="H714" s="360">
        <f t="shared" ca="1" si="331"/>
        <v>-34.117790440701533</v>
      </c>
      <c r="I714" s="357">
        <f t="shared" ca="1" si="332"/>
        <v>50.547764287266112</v>
      </c>
      <c r="J714" s="359">
        <f t="shared" ca="1" si="333"/>
        <v>1100.7344126644953</v>
      </c>
      <c r="K714" s="360">
        <f t="shared" ca="1" si="334"/>
        <v>2432.7065323616503</v>
      </c>
      <c r="L714" s="357">
        <f t="shared" ca="1" si="319"/>
        <v>2670.1455615413361</v>
      </c>
      <c r="M714" s="359">
        <f t="shared" ca="1" si="335"/>
        <v>-0.74091240552433357</v>
      </c>
      <c r="N714" s="357">
        <f t="shared" ca="1" si="336"/>
        <v>-42.451153825429657</v>
      </c>
      <c r="O714" s="343"/>
      <c r="P714" s="363">
        <f t="shared" ca="1" si="337"/>
        <v>23</v>
      </c>
      <c r="Q714" s="357">
        <f t="shared" ca="1" si="338"/>
        <v>0</v>
      </c>
      <c r="R714" s="359">
        <f t="shared" ca="1" si="339"/>
        <v>0</v>
      </c>
      <c r="S714" s="360">
        <f t="shared" ca="1" si="340"/>
        <v>10.637999999999975</v>
      </c>
      <c r="T714" s="357">
        <f t="shared" ca="1" si="320"/>
        <v>104.35877999999975</v>
      </c>
      <c r="U714" s="364">
        <f t="shared" ca="1" si="321"/>
        <v>0</v>
      </c>
      <c r="V714" s="359">
        <f t="shared" ca="1" si="322"/>
        <v>0.9593106594967532</v>
      </c>
      <c r="W714" s="357">
        <f t="shared" ca="1" si="323"/>
        <v>5.5971032209396103</v>
      </c>
      <c r="X714" s="343"/>
      <c r="Y714" s="367" t="str">
        <f t="shared" ca="1" si="341"/>
        <v/>
      </c>
      <c r="Z714" s="368" t="str">
        <f t="shared" ca="1" si="342"/>
        <v/>
      </c>
      <c r="AA714" s="369" t="str">
        <f t="shared" ca="1" si="343"/>
        <v/>
      </c>
      <c r="AB714" s="344"/>
      <c r="AC714" s="363">
        <f t="shared" ca="1" si="344"/>
        <v>26.000000000000039</v>
      </c>
      <c r="AD714" s="376">
        <f t="shared" ca="1" si="345"/>
        <v>1100.7344126644953</v>
      </c>
      <c r="AE714" s="377" t="e">
        <f t="shared" ca="1" si="324"/>
        <v>#N/A</v>
      </c>
      <c r="AF714" s="344"/>
      <c r="AG714" s="359">
        <f t="shared" ca="1" si="346"/>
        <v>6.0022216759391842</v>
      </c>
      <c r="AH714" s="357">
        <f t="shared" ca="1" si="347"/>
        <v>-0.51343661178129618</v>
      </c>
    </row>
    <row r="715" spans="1:34" x14ac:dyDescent="0.25">
      <c r="A715" s="402">
        <f t="shared" ca="1" si="325"/>
        <v>0.1</v>
      </c>
      <c r="B715" s="357">
        <f t="shared" ca="1" si="326"/>
        <v>26.100000000000041</v>
      </c>
      <c r="C715" s="342"/>
      <c r="D715" s="359">
        <f t="shared" ca="1" si="327"/>
        <v>-0.38821578833807419</v>
      </c>
      <c r="E715" s="360">
        <f t="shared" ca="1" si="328"/>
        <v>-9.4548741584500746</v>
      </c>
      <c r="F715" s="357">
        <f t="shared" ca="1" si="329"/>
        <v>9.4628408446111969</v>
      </c>
      <c r="G715" s="359">
        <f t="shared" ca="1" si="330"/>
        <v>37.257999329728769</v>
      </c>
      <c r="H715" s="360">
        <f t="shared" ca="1" si="331"/>
        <v>-35.063277856546541</v>
      </c>
      <c r="I715" s="357">
        <f t="shared" ca="1" si="332"/>
        <v>51.162407762921561</v>
      </c>
      <c r="J715" s="359">
        <f t="shared" ca="1" si="333"/>
        <v>1104.4621536764098</v>
      </c>
      <c r="K715" s="360">
        <f t="shared" ca="1" si="334"/>
        <v>2429.2474789467879</v>
      </c>
      <c r="L715" s="357">
        <f t="shared" ca="1" si="319"/>
        <v>2668.5351717511344</v>
      </c>
      <c r="M715" s="359">
        <f t="shared" ca="1" si="335"/>
        <v>-0.75506064445083598</v>
      </c>
      <c r="N715" s="357">
        <f t="shared" ca="1" si="336"/>
        <v>-43.261788203460945</v>
      </c>
      <c r="O715" s="343"/>
      <c r="P715" s="363">
        <f t="shared" ca="1" si="337"/>
        <v>23</v>
      </c>
      <c r="Q715" s="357">
        <f t="shared" ca="1" si="338"/>
        <v>0</v>
      </c>
      <c r="R715" s="359">
        <f t="shared" ca="1" si="339"/>
        <v>0</v>
      </c>
      <c r="S715" s="360">
        <f t="shared" ca="1" si="340"/>
        <v>10.637999999999975</v>
      </c>
      <c r="T715" s="357">
        <f t="shared" ca="1" si="320"/>
        <v>104.35877999999975</v>
      </c>
      <c r="U715" s="364">
        <f t="shared" ca="1" si="321"/>
        <v>0</v>
      </c>
      <c r="V715" s="359">
        <f t="shared" ca="1" si="322"/>
        <v>0.95964752533467057</v>
      </c>
      <c r="W715" s="357">
        <f t="shared" ca="1" si="323"/>
        <v>5.7360620383959224</v>
      </c>
      <c r="X715" s="343"/>
      <c r="Y715" s="367" t="str">
        <f t="shared" ca="1" si="341"/>
        <v/>
      </c>
      <c r="Z715" s="368" t="str">
        <f t="shared" ca="1" si="342"/>
        <v/>
      </c>
      <c r="AA715" s="369" t="str">
        <f t="shared" ca="1" si="343"/>
        <v/>
      </c>
      <c r="AB715" s="344"/>
      <c r="AC715" s="363" t="e">
        <f t="shared" ca="1" si="344"/>
        <v>#N/A</v>
      </c>
      <c r="AD715" s="376" t="e">
        <f t="shared" ca="1" si="345"/>
        <v>#N/A</v>
      </c>
      <c r="AE715" s="377" t="e">
        <f t="shared" ca="1" si="324"/>
        <v>#N/A</v>
      </c>
      <c r="AF715" s="344"/>
      <c r="AG715" s="359">
        <f t="shared" ca="1" si="346"/>
        <v>6.0952290332511954</v>
      </c>
      <c r="AH715" s="357">
        <f t="shared" ca="1" si="347"/>
        <v>-0.5261424347564978</v>
      </c>
    </row>
    <row r="716" spans="1:34" x14ac:dyDescent="0.25">
      <c r="A716" s="402">
        <f t="shared" ca="1" si="325"/>
        <v>0.1</v>
      </c>
      <c r="B716" s="357">
        <f t="shared" ca="1" si="326"/>
        <v>26.200000000000042</v>
      </c>
      <c r="C716" s="342"/>
      <c r="D716" s="359">
        <f t="shared" ca="1" si="327"/>
        <v>-0.39266519647195569</v>
      </c>
      <c r="E716" s="360">
        <f t="shared" ca="1" si="328"/>
        <v>-9.4404651581893777</v>
      </c>
      <c r="F716" s="357">
        <f t="shared" ca="1" si="329"/>
        <v>9.448627855911564</v>
      </c>
      <c r="G716" s="359">
        <f t="shared" ca="1" si="330"/>
        <v>37.218732810081576</v>
      </c>
      <c r="H716" s="360">
        <f t="shared" ca="1" si="331"/>
        <v>-36.007324372365481</v>
      </c>
      <c r="I716" s="357">
        <f t="shared" ca="1" si="332"/>
        <v>51.785726609221079</v>
      </c>
      <c r="J716" s="359">
        <f t="shared" ca="1" si="333"/>
        <v>1108.1859902834003</v>
      </c>
      <c r="K716" s="360">
        <f t="shared" ca="1" si="334"/>
        <v>2425.6939488353423</v>
      </c>
      <c r="L716" s="357">
        <f t="shared" ca="1" si="319"/>
        <v>2666.8459502709934</v>
      </c>
      <c r="M716" s="359">
        <f t="shared" ca="1" si="335"/>
        <v>-0.76885626577279143</v>
      </c>
      <c r="N716" s="357">
        <f t="shared" ca="1" si="336"/>
        <v>-44.052219080969678</v>
      </c>
      <c r="O716" s="343"/>
      <c r="P716" s="363">
        <f t="shared" ca="1" si="337"/>
        <v>23</v>
      </c>
      <c r="Q716" s="357">
        <f t="shared" ca="1" si="338"/>
        <v>0</v>
      </c>
      <c r="R716" s="359">
        <f t="shared" ca="1" si="339"/>
        <v>0</v>
      </c>
      <c r="S716" s="360">
        <f t="shared" ca="1" si="340"/>
        <v>10.637999999999975</v>
      </c>
      <c r="T716" s="357">
        <f t="shared" ca="1" si="320"/>
        <v>104.35877999999975</v>
      </c>
      <c r="U716" s="364">
        <f t="shared" ca="1" si="321"/>
        <v>0</v>
      </c>
      <c r="V716" s="359">
        <f t="shared" ca="1" si="322"/>
        <v>0.95999370016350249</v>
      </c>
      <c r="W716" s="357">
        <f t="shared" ca="1" si="323"/>
        <v>5.8787998473044212</v>
      </c>
      <c r="X716" s="343"/>
      <c r="Y716" s="367" t="str">
        <f t="shared" ca="1" si="341"/>
        <v/>
      </c>
      <c r="Z716" s="368" t="str">
        <f t="shared" ca="1" si="342"/>
        <v/>
      </c>
      <c r="AA716" s="369" t="str">
        <f t="shared" ca="1" si="343"/>
        <v/>
      </c>
      <c r="AB716" s="344"/>
      <c r="AC716" s="363" t="e">
        <f t="shared" ca="1" si="344"/>
        <v>#N/A</v>
      </c>
      <c r="AD716" s="376" t="e">
        <f t="shared" ca="1" si="345"/>
        <v>#N/A</v>
      </c>
      <c r="AE716" s="377" t="e">
        <f t="shared" ca="1" si="324"/>
        <v>#N/A</v>
      </c>
      <c r="AF716" s="344"/>
      <c r="AG716" s="359">
        <f t="shared" ca="1" si="346"/>
        <v>6.183910162628635</v>
      </c>
      <c r="AH716" s="357">
        <f t="shared" ca="1" si="347"/>
        <v>-0.53920492934723974</v>
      </c>
    </row>
    <row r="717" spans="1:34" x14ac:dyDescent="0.25">
      <c r="A717" s="402">
        <f t="shared" ca="1" si="325"/>
        <v>0.1</v>
      </c>
      <c r="B717" s="357">
        <f t="shared" ca="1" si="326"/>
        <v>26.300000000000043</v>
      </c>
      <c r="C717" s="342"/>
      <c r="D717" s="359">
        <f t="shared" ca="1" si="327"/>
        <v>-0.39717343831712926</v>
      </c>
      <c r="E717" s="360">
        <f t="shared" ca="1" si="328"/>
        <v>-9.4257539027847095</v>
      </c>
      <c r="F717" s="357">
        <f t="shared" ca="1" si="329"/>
        <v>9.434118049715396</v>
      </c>
      <c r="G717" s="359">
        <f t="shared" ca="1" si="330"/>
        <v>37.179015466249865</v>
      </c>
      <c r="H717" s="360">
        <f t="shared" ca="1" si="331"/>
        <v>-36.949899762643952</v>
      </c>
      <c r="I717" s="357">
        <f t="shared" ca="1" si="332"/>
        <v>52.41730900674969</v>
      </c>
      <c r="J717" s="359">
        <f t="shared" ca="1" si="333"/>
        <v>1111.905877697217</v>
      </c>
      <c r="K717" s="360">
        <f t="shared" ca="1" si="334"/>
        <v>2422.046087628592</v>
      </c>
      <c r="L717" s="357">
        <f t="shared" ca="1" si="319"/>
        <v>2665.0782223894644</v>
      </c>
      <c r="M717" s="359">
        <f t="shared" ca="1" si="335"/>
        <v>-0.78230739951225103</v>
      </c>
      <c r="N717" s="357">
        <f t="shared" ca="1" si="336"/>
        <v>-44.822912273906738</v>
      </c>
      <c r="O717" s="343"/>
      <c r="P717" s="363">
        <f t="shared" ca="1" si="337"/>
        <v>23</v>
      </c>
      <c r="Q717" s="357">
        <f t="shared" ca="1" si="338"/>
        <v>0</v>
      </c>
      <c r="R717" s="359">
        <f t="shared" ca="1" si="339"/>
        <v>0</v>
      </c>
      <c r="S717" s="360">
        <f t="shared" ca="1" si="340"/>
        <v>10.637999999999975</v>
      </c>
      <c r="T717" s="357">
        <f t="shared" ca="1" si="320"/>
        <v>104.35877999999975</v>
      </c>
      <c r="U717" s="364">
        <f t="shared" ca="1" si="321"/>
        <v>0</v>
      </c>
      <c r="V717" s="359">
        <f t="shared" ca="1" si="322"/>
        <v>0.96034917859418067</v>
      </c>
      <c r="W717" s="357">
        <f t="shared" ca="1" si="323"/>
        <v>6.0253011025336374</v>
      </c>
      <c r="X717" s="343"/>
      <c r="Y717" s="367" t="str">
        <f t="shared" ca="1" si="341"/>
        <v/>
      </c>
      <c r="Z717" s="368" t="str">
        <f t="shared" ca="1" si="342"/>
        <v/>
      </c>
      <c r="AA717" s="369" t="str">
        <f t="shared" ca="1" si="343"/>
        <v/>
      </c>
      <c r="AB717" s="344"/>
      <c r="AC717" s="363" t="e">
        <f t="shared" ca="1" si="344"/>
        <v>#N/A</v>
      </c>
      <c r="AD717" s="376" t="e">
        <f t="shared" ca="1" si="345"/>
        <v>#N/A</v>
      </c>
      <c r="AE717" s="377" t="e">
        <f t="shared" ca="1" si="324"/>
        <v>#N/A</v>
      </c>
      <c r="AF717" s="344"/>
      <c r="AG717" s="359">
        <f t="shared" ca="1" si="346"/>
        <v>6.2684045857120569</v>
      </c>
      <c r="AH717" s="357">
        <f t="shared" ca="1" si="347"/>
        <v>-0.55262265908107111</v>
      </c>
    </row>
    <row r="718" spans="1:34" x14ac:dyDescent="0.25">
      <c r="A718" s="402">
        <f t="shared" ca="1" si="325"/>
        <v>0.1</v>
      </c>
      <c r="B718" s="357">
        <f t="shared" ca="1" si="326"/>
        <v>26.400000000000045</v>
      </c>
      <c r="C718" s="342"/>
      <c r="D718" s="359">
        <f t="shared" ca="1" si="327"/>
        <v>-0.40173709282491749</v>
      </c>
      <c r="E718" s="360">
        <f t="shared" ca="1" si="328"/>
        <v>-9.4107386122343186</v>
      </c>
      <c r="F718" s="357">
        <f t="shared" ca="1" si="329"/>
        <v>9.419309630729277</v>
      </c>
      <c r="G718" s="359">
        <f t="shared" ca="1" si="330"/>
        <v>37.138841756967373</v>
      </c>
      <c r="H718" s="360">
        <f t="shared" ca="1" si="331"/>
        <v>-37.890973623867382</v>
      </c>
      <c r="I718" s="357">
        <f t="shared" ca="1" si="332"/>
        <v>53.056756866714693</v>
      </c>
      <c r="J718" s="359">
        <f t="shared" ca="1" si="333"/>
        <v>1115.6217705583779</v>
      </c>
      <c r="K718" s="360">
        <f t="shared" ca="1" si="334"/>
        <v>2418.3040439592664</v>
      </c>
      <c r="L718" s="357">
        <f t="shared" ca="1" si="319"/>
        <v>2663.2323188136538</v>
      </c>
      <c r="M718" s="359">
        <f t="shared" ca="1" si="335"/>
        <v>-0.79542226742653466</v>
      </c>
      <c r="N718" s="357">
        <f t="shared" ca="1" si="336"/>
        <v>-45.574338854266735</v>
      </c>
      <c r="O718" s="343"/>
      <c r="P718" s="363">
        <f t="shared" ca="1" si="337"/>
        <v>23</v>
      </c>
      <c r="Q718" s="357">
        <f t="shared" ca="1" si="338"/>
        <v>0</v>
      </c>
      <c r="R718" s="359">
        <f t="shared" ca="1" si="339"/>
        <v>0</v>
      </c>
      <c r="S718" s="360">
        <f t="shared" ca="1" si="340"/>
        <v>10.637999999999975</v>
      </c>
      <c r="T718" s="357">
        <f t="shared" ca="1" si="320"/>
        <v>104.35877999999975</v>
      </c>
      <c r="U718" s="364">
        <f t="shared" ca="1" si="321"/>
        <v>0</v>
      </c>
      <c r="V718" s="359">
        <f t="shared" ca="1" si="322"/>
        <v>0.96071395516438796</v>
      </c>
      <c r="W718" s="357">
        <f t="shared" ca="1" si="323"/>
        <v>6.1755499913753935</v>
      </c>
      <c r="X718" s="343"/>
      <c r="Y718" s="367" t="str">
        <f t="shared" ca="1" si="341"/>
        <v/>
      </c>
      <c r="Z718" s="368" t="str">
        <f t="shared" ca="1" si="342"/>
        <v/>
      </c>
      <c r="AA718" s="369" t="str">
        <f t="shared" ca="1" si="343"/>
        <v/>
      </c>
      <c r="AB718" s="344"/>
      <c r="AC718" s="363" t="e">
        <f t="shared" ca="1" si="344"/>
        <v>#N/A</v>
      </c>
      <c r="AD718" s="376" t="e">
        <f t="shared" ca="1" si="345"/>
        <v>#N/A</v>
      </c>
      <c r="AE718" s="377" t="e">
        <f t="shared" ca="1" si="324"/>
        <v>#N/A</v>
      </c>
      <c r="AF718" s="344"/>
      <c r="AG718" s="359">
        <f t="shared" ca="1" si="346"/>
        <v>6.3488505063116536</v>
      </c>
      <c r="AH718" s="357">
        <f t="shared" ca="1" si="347"/>
        <v>-0.56639416267471809</v>
      </c>
    </row>
    <row r="719" spans="1:34" x14ac:dyDescent="0.25">
      <c r="A719" s="402">
        <f t="shared" ca="1" si="325"/>
        <v>0.1</v>
      </c>
      <c r="B719" s="357">
        <f t="shared" ca="1" si="326"/>
        <v>26.500000000000046</v>
      </c>
      <c r="C719" s="342"/>
      <c r="D719" s="359">
        <f t="shared" ca="1" si="327"/>
        <v>-0.40635285103094898</v>
      </c>
      <c r="E719" s="360">
        <f t="shared" ca="1" si="328"/>
        <v>-9.3954177343183183</v>
      </c>
      <c r="F719" s="357">
        <f t="shared" ca="1" si="329"/>
        <v>9.40420103155415</v>
      </c>
      <c r="G719" s="359">
        <f t="shared" ca="1" si="330"/>
        <v>37.09820647186428</v>
      </c>
      <c r="H719" s="360">
        <f t="shared" ca="1" si="331"/>
        <v>-38.830515397299216</v>
      </c>
      <c r="I719" s="357">
        <f t="shared" ca="1" si="332"/>
        <v>53.703685622580544</v>
      </c>
      <c r="J719" s="359">
        <f t="shared" ca="1" si="333"/>
        <v>1119.3336229698195</v>
      </c>
      <c r="K719" s="360">
        <f t="shared" ca="1" si="334"/>
        <v>2414.4679695082082</v>
      </c>
      <c r="L719" s="357">
        <f t="shared" ca="1" si="319"/>
        <v>2661.3085757371</v>
      </c>
      <c r="M719" s="359">
        <f t="shared" ca="1" si="335"/>
        <v>-0.80820914201969718</v>
      </c>
      <c r="N719" s="357">
        <f t="shared" ca="1" si="336"/>
        <v>-46.306972801618009</v>
      </c>
      <c r="O719" s="343"/>
      <c r="P719" s="363">
        <f t="shared" ca="1" si="337"/>
        <v>23</v>
      </c>
      <c r="Q719" s="357">
        <f t="shared" ca="1" si="338"/>
        <v>0</v>
      </c>
      <c r="R719" s="359">
        <f t="shared" ca="1" si="339"/>
        <v>0</v>
      </c>
      <c r="S719" s="360">
        <f t="shared" ca="1" si="340"/>
        <v>10.637999999999975</v>
      </c>
      <c r="T719" s="357">
        <f t="shared" ca="1" si="320"/>
        <v>104.35877999999975</v>
      </c>
      <c r="U719" s="364">
        <f t="shared" ca="1" si="321"/>
        <v>0</v>
      </c>
      <c r="V719" s="359">
        <f t="shared" ca="1" si="322"/>
        <v>0.9610880243357881</v>
      </c>
      <c r="W719" s="357">
        <f t="shared" ca="1" si="323"/>
        <v>6.3295304303048354</v>
      </c>
      <c r="X719" s="343"/>
      <c r="Y719" s="367" t="str">
        <f t="shared" ca="1" si="341"/>
        <v/>
      </c>
      <c r="Z719" s="368" t="str">
        <f t="shared" ca="1" si="342"/>
        <v/>
      </c>
      <c r="AA719" s="369" t="str">
        <f t="shared" ca="1" si="343"/>
        <v/>
      </c>
      <c r="AB719" s="344"/>
      <c r="AC719" s="363" t="e">
        <f t="shared" ca="1" si="344"/>
        <v>#N/A</v>
      </c>
      <c r="AD719" s="376" t="e">
        <f t="shared" ca="1" si="345"/>
        <v>#N/A</v>
      </c>
      <c r="AE719" s="377" t="e">
        <f t="shared" ca="1" si="324"/>
        <v>#N/A</v>
      </c>
      <c r="AF719" s="344"/>
      <c r="AG719" s="359">
        <f t="shared" ca="1" si="346"/>
        <v>6.425384276327887</v>
      </c>
      <c r="AH719" s="357">
        <f t="shared" ca="1" si="347"/>
        <v>-0.58051795369199177</v>
      </c>
    </row>
    <row r="720" spans="1:34" x14ac:dyDescent="0.25">
      <c r="A720" s="402">
        <f t="shared" ca="1" si="325"/>
        <v>0.1</v>
      </c>
      <c r="B720" s="357">
        <f t="shared" ca="1" si="326"/>
        <v>26.600000000000048</v>
      </c>
      <c r="C720" s="342"/>
      <c r="D720" s="359">
        <f t="shared" ca="1" si="327"/>
        <v>-0.41101751414559468</v>
      </c>
      <c r="E720" s="360">
        <f t="shared" ca="1" si="328"/>
        <v>-9.3797899324676415</v>
      </c>
      <c r="F720" s="357">
        <f t="shared" ca="1" si="329"/>
        <v>9.3887909005449544</v>
      </c>
      <c r="G720" s="359">
        <f t="shared" ca="1" si="330"/>
        <v>37.057104720449722</v>
      </c>
      <c r="H720" s="360">
        <f t="shared" ca="1" si="331"/>
        <v>-39.768494390545982</v>
      </c>
      <c r="I720" s="357">
        <f t="shared" ca="1" si="332"/>
        <v>54.357723980619937</v>
      </c>
      <c r="J720" s="359">
        <f t="shared" ca="1" si="333"/>
        <v>1123.0413885294352</v>
      </c>
      <c r="K720" s="360">
        <f t="shared" ca="1" si="334"/>
        <v>2410.5380190188157</v>
      </c>
      <c r="L720" s="357">
        <f t="shared" ca="1" si="319"/>
        <v>2659.3073349060801</v>
      </c>
      <c r="M720" s="359">
        <f t="shared" ca="1" si="335"/>
        <v>-0.8206763101382778</v>
      </c>
      <c r="N720" s="357">
        <f t="shared" ca="1" si="336"/>
        <v>-47.021288917292729</v>
      </c>
      <c r="O720" s="343"/>
      <c r="P720" s="363">
        <f t="shared" ca="1" si="337"/>
        <v>23</v>
      </c>
      <c r="Q720" s="357">
        <f t="shared" ca="1" si="338"/>
        <v>0</v>
      </c>
      <c r="R720" s="359">
        <f t="shared" ca="1" si="339"/>
        <v>0</v>
      </c>
      <c r="S720" s="360">
        <f t="shared" ca="1" si="340"/>
        <v>10.637999999999975</v>
      </c>
      <c r="T720" s="357">
        <f t="shared" ca="1" si="320"/>
        <v>104.35877999999975</v>
      </c>
      <c r="U720" s="364">
        <f t="shared" ca="1" si="321"/>
        <v>0</v>
      </c>
      <c r="V720" s="359">
        <f t="shared" ca="1" si="322"/>
        <v>0.96147138049144143</v>
      </c>
      <c r="W720" s="357">
        <f t="shared" ca="1" si="323"/>
        <v>6.4872260621180446</v>
      </c>
      <c r="X720" s="343"/>
      <c r="Y720" s="367" t="str">
        <f t="shared" ca="1" si="341"/>
        <v/>
      </c>
      <c r="Z720" s="368" t="str">
        <f t="shared" ca="1" si="342"/>
        <v/>
      </c>
      <c r="AA720" s="369" t="str">
        <f t="shared" ca="1" si="343"/>
        <v/>
      </c>
      <c r="AB720" s="344"/>
      <c r="AC720" s="363" t="e">
        <f t="shared" ca="1" si="344"/>
        <v>#N/A</v>
      </c>
      <c r="AD720" s="376" t="e">
        <f t="shared" ca="1" si="345"/>
        <v>#N/A</v>
      </c>
      <c r="AE720" s="377" t="e">
        <f t="shared" ca="1" si="324"/>
        <v>#N/A</v>
      </c>
      <c r="AF720" s="344"/>
      <c r="AG720" s="359">
        <f t="shared" ca="1" si="346"/>
        <v>6.4981399460237359</v>
      </c>
      <c r="AH720" s="357">
        <f t="shared" ca="1" si="347"/>
        <v>-0.59499252023922267</v>
      </c>
    </row>
    <row r="721" spans="1:34" x14ac:dyDescent="0.25">
      <c r="A721" s="402">
        <f t="shared" ca="1" si="325"/>
        <v>0.1</v>
      </c>
      <c r="B721" s="357">
        <f t="shared" ca="1" si="326"/>
        <v>26.700000000000049</v>
      </c>
      <c r="C721" s="342"/>
      <c r="D721" s="359">
        <f t="shared" ca="1" si="327"/>
        <v>-0.41572799134421595</v>
      </c>
      <c r="E721" s="360">
        <f t="shared" ca="1" si="328"/>
        <v>-9.3638540742325773</v>
      </c>
      <c r="F721" s="357">
        <f t="shared" ca="1" si="329"/>
        <v>9.3730780902705142</v>
      </c>
      <c r="G721" s="359">
        <f t="shared" ca="1" si="330"/>
        <v>37.015531921315301</v>
      </c>
      <c r="H721" s="360">
        <f t="shared" ca="1" si="331"/>
        <v>-40.704879797969241</v>
      </c>
      <c r="I721" s="357">
        <f t="shared" ca="1" si="332"/>
        <v>55.018513636639042</v>
      </c>
      <c r="J721" s="359">
        <f t="shared" ca="1" si="333"/>
        <v>1126.7450203615233</v>
      </c>
      <c r="K721" s="360">
        <f t="shared" ca="1" si="334"/>
        <v>2406.51435030939</v>
      </c>
      <c r="L721" s="357">
        <f t="shared" ca="1" si="319"/>
        <v>2657.2289436844758</v>
      </c>
      <c r="M721" s="359">
        <f t="shared" ca="1" si="335"/>
        <v>-0.83283204083840467</v>
      </c>
      <c r="N721" s="357">
        <f t="shared" ca="1" si="336"/>
        <v>-47.717760983307606</v>
      </c>
      <c r="O721" s="343"/>
      <c r="P721" s="363">
        <f t="shared" ca="1" si="337"/>
        <v>23</v>
      </c>
      <c r="Q721" s="357">
        <f t="shared" ca="1" si="338"/>
        <v>0</v>
      </c>
      <c r="R721" s="359">
        <f t="shared" ca="1" si="339"/>
        <v>0</v>
      </c>
      <c r="S721" s="360">
        <f t="shared" ca="1" si="340"/>
        <v>10.637999999999975</v>
      </c>
      <c r="T721" s="357">
        <f t="shared" ca="1" si="320"/>
        <v>104.35877999999975</v>
      </c>
      <c r="U721" s="364">
        <f t="shared" ca="1" si="321"/>
        <v>0</v>
      </c>
      <c r="V721" s="359">
        <f t="shared" ca="1" si="322"/>
        <v>0.96186401793340115</v>
      </c>
      <c r="W721" s="357">
        <f t="shared" ca="1" si="323"/>
        <v>6.6486202534268806</v>
      </c>
      <c r="X721" s="343"/>
      <c r="Y721" s="367" t="str">
        <f t="shared" ca="1" si="341"/>
        <v/>
      </c>
      <c r="Z721" s="368" t="str">
        <f t="shared" ca="1" si="342"/>
        <v/>
      </c>
      <c r="AA721" s="369" t="str">
        <f t="shared" ca="1" si="343"/>
        <v/>
      </c>
      <c r="AB721" s="344"/>
      <c r="AC721" s="363" t="e">
        <f t="shared" ca="1" si="344"/>
        <v>#N/A</v>
      </c>
      <c r="AD721" s="376" t="e">
        <f t="shared" ca="1" si="345"/>
        <v>#N/A</v>
      </c>
      <c r="AE721" s="377" t="e">
        <f t="shared" ca="1" si="324"/>
        <v>#N/A</v>
      </c>
      <c r="AF721" s="344"/>
      <c r="AG721" s="359">
        <f t="shared" ca="1" si="346"/>
        <v>6.5672488907338753</v>
      </c>
      <c r="AH721" s="357">
        <f t="shared" ca="1" si="347"/>
        <v>-0.60981632469618907</v>
      </c>
    </row>
    <row r="722" spans="1:34" x14ac:dyDescent="0.25">
      <c r="A722" s="402">
        <f t="shared" ca="1" si="325"/>
        <v>0.1</v>
      </c>
      <c r="B722" s="357">
        <f t="shared" ca="1" si="326"/>
        <v>26.80000000000005</v>
      </c>
      <c r="C722" s="342"/>
      <c r="D722" s="359">
        <f t="shared" ca="1" si="327"/>
        <v>-0.42048129731305217</v>
      </c>
      <c r="E722" s="360">
        <f t="shared" ca="1" si="328"/>
        <v>-9.3476092203455288</v>
      </c>
      <c r="F722" s="357">
        <f t="shared" ca="1" si="329"/>
        <v>9.3570616465682654</v>
      </c>
      <c r="G722" s="359">
        <f t="shared" ca="1" si="330"/>
        <v>36.973483791583995</v>
      </c>
      <c r="H722" s="360">
        <f t="shared" ca="1" si="331"/>
        <v>-41.639640720003797</v>
      </c>
      <c r="I722" s="357">
        <f t="shared" ca="1" si="332"/>
        <v>55.68570896538467</v>
      </c>
      <c r="J722" s="359">
        <f t="shared" ca="1" si="333"/>
        <v>1130.4444711471683</v>
      </c>
      <c r="K722" s="360">
        <f t="shared" ca="1" si="334"/>
        <v>2402.3971242834914</v>
      </c>
      <c r="L722" s="357">
        <f t="shared" ca="1" si="319"/>
        <v>2655.0737551173206</v>
      </c>
      <c r="M722" s="359">
        <f t="shared" ca="1" si="335"/>
        <v>-0.84468455720845503</v>
      </c>
      <c r="N722" s="357">
        <f t="shared" ca="1" si="336"/>
        <v>-48.39686014792121</v>
      </c>
      <c r="O722" s="343"/>
      <c r="P722" s="363">
        <f t="shared" ca="1" si="337"/>
        <v>23</v>
      </c>
      <c r="Q722" s="357">
        <f t="shared" ca="1" si="338"/>
        <v>0</v>
      </c>
      <c r="R722" s="359">
        <f t="shared" ca="1" si="339"/>
        <v>0</v>
      </c>
      <c r="S722" s="360">
        <f t="shared" ca="1" si="340"/>
        <v>10.637999999999975</v>
      </c>
      <c r="T722" s="357">
        <f t="shared" ca="1" si="320"/>
        <v>104.35877999999975</v>
      </c>
      <c r="U722" s="364">
        <f t="shared" ca="1" si="321"/>
        <v>0</v>
      </c>
      <c r="V722" s="359">
        <f t="shared" ca="1" si="322"/>
        <v>0.96226593088047463</v>
      </c>
      <c r="W722" s="357">
        <f t="shared" ca="1" si="323"/>
        <v>6.8136960924914751</v>
      </c>
      <c r="X722" s="343"/>
      <c r="Y722" s="367" t="str">
        <f t="shared" ca="1" si="341"/>
        <v/>
      </c>
      <c r="Z722" s="368" t="str">
        <f t="shared" ca="1" si="342"/>
        <v/>
      </c>
      <c r="AA722" s="369" t="str">
        <f t="shared" ca="1" si="343"/>
        <v/>
      </c>
      <c r="AB722" s="344"/>
      <c r="AC722" s="363" t="e">
        <f t="shared" ca="1" si="344"/>
        <v>#N/A</v>
      </c>
      <c r="AD722" s="376" t="e">
        <f t="shared" ca="1" si="345"/>
        <v>#N/A</v>
      </c>
      <c r="AE722" s="377" t="e">
        <f t="shared" ca="1" si="324"/>
        <v>#N/A</v>
      </c>
      <c r="AF722" s="344"/>
      <c r="AG722" s="359">
        <f t="shared" ca="1" si="346"/>
        <v>6.6328395063461949</v>
      </c>
      <c r="AH722" s="357">
        <f t="shared" ca="1" si="347"/>
        <v>-0.62498780348062566</v>
      </c>
    </row>
    <row r="723" spans="1:34" x14ac:dyDescent="0.25">
      <c r="A723" s="402">
        <f t="shared" ca="1" si="325"/>
        <v>0.1</v>
      </c>
      <c r="B723" s="357">
        <f t="shared" ca="1" si="326"/>
        <v>26.900000000000052</v>
      </c>
      <c r="C723" s="342"/>
      <c r="D723" s="359">
        <f t="shared" ca="1" si="327"/>
        <v>-0.42527454960064631</v>
      </c>
      <c r="E723" s="360">
        <f t="shared" ca="1" si="328"/>
        <v>-9.3310546143676305</v>
      </c>
      <c r="F723" s="357">
        <f t="shared" ca="1" si="329"/>
        <v>9.3407407981834876</v>
      </c>
      <c r="G723" s="359">
        <f t="shared" ca="1" si="330"/>
        <v>36.930956336623929</v>
      </c>
      <c r="H723" s="360">
        <f t="shared" ca="1" si="331"/>
        <v>-42.572746181440557</v>
      </c>
      <c r="I723" s="357">
        <f t="shared" ca="1" si="332"/>
        <v>56.358976688429898</v>
      </c>
      <c r="J723" s="359">
        <f t="shared" ca="1" si="333"/>
        <v>1134.1396931535787</v>
      </c>
      <c r="K723" s="360">
        <f t="shared" ca="1" si="334"/>
        <v>2398.1865049384191</v>
      </c>
      <c r="L723" s="357">
        <f t="shared" ca="1" si="319"/>
        <v>2652.842127993154</v>
      </c>
      <c r="M723" s="359">
        <f t="shared" ca="1" si="335"/>
        <v>-0.85624201183431503</v>
      </c>
      <c r="N723" s="357">
        <f t="shared" ca="1" si="336"/>
        <v>-49.059053519896942</v>
      </c>
      <c r="O723" s="343"/>
      <c r="P723" s="363">
        <f t="shared" ca="1" si="337"/>
        <v>23</v>
      </c>
      <c r="Q723" s="357">
        <f t="shared" ca="1" si="338"/>
        <v>0</v>
      </c>
      <c r="R723" s="359">
        <f t="shared" ca="1" si="339"/>
        <v>0</v>
      </c>
      <c r="S723" s="360">
        <f t="shared" ca="1" si="340"/>
        <v>10.637999999999975</v>
      </c>
      <c r="T723" s="357">
        <f t="shared" ca="1" si="320"/>
        <v>104.35877999999975</v>
      </c>
      <c r="U723" s="364">
        <f t="shared" ca="1" si="321"/>
        <v>0</v>
      </c>
      <c r="V723" s="359">
        <f t="shared" ca="1" si="322"/>
        <v>0.96267711346614326</v>
      </c>
      <c r="W723" s="357">
        <f t="shared" ca="1" si="323"/>
        <v>6.9824363873721706</v>
      </c>
      <c r="X723" s="343"/>
      <c r="Y723" s="367" t="str">
        <f t="shared" ca="1" si="341"/>
        <v/>
      </c>
      <c r="Z723" s="368" t="str">
        <f t="shared" ca="1" si="342"/>
        <v/>
      </c>
      <c r="AA723" s="369" t="str">
        <f t="shared" ca="1" si="343"/>
        <v/>
      </c>
      <c r="AB723" s="344"/>
      <c r="AC723" s="363" t="e">
        <f t="shared" ca="1" si="344"/>
        <v>#N/A</v>
      </c>
      <c r="AD723" s="376" t="e">
        <f t="shared" ca="1" si="345"/>
        <v>#N/A</v>
      </c>
      <c r="AE723" s="377" t="e">
        <f t="shared" ca="1" si="324"/>
        <v>#N/A</v>
      </c>
      <c r="AF723" s="344"/>
      <c r="AG723" s="359">
        <f t="shared" ca="1" si="346"/>
        <v>6.6950369662370637</v>
      </c>
      <c r="AH723" s="357">
        <f t="shared" ca="1" si="347"/>
        <v>-0.64050536684447179</v>
      </c>
    </row>
    <row r="724" spans="1:34" x14ac:dyDescent="0.25">
      <c r="A724" s="402">
        <f t="shared" ca="1" si="325"/>
        <v>0.1</v>
      </c>
      <c r="B724" s="357">
        <f t="shared" ca="1" si="326"/>
        <v>27.000000000000053</v>
      </c>
      <c r="C724" s="342"/>
      <c r="D724" s="359">
        <f t="shared" ca="1" si="327"/>
        <v>-0.43010496581913632</v>
      </c>
      <c r="E724" s="360">
        <f t="shared" ca="1" si="328"/>
        <v>-9.3141896729049307</v>
      </c>
      <c r="F724" s="357">
        <f t="shared" ca="1" si="329"/>
        <v>9.3241149469786748</v>
      </c>
      <c r="G724" s="359">
        <f t="shared" ca="1" si="330"/>
        <v>36.887945840042015</v>
      </c>
      <c r="H724" s="360">
        <f t="shared" ca="1" si="331"/>
        <v>-43.504165148731047</v>
      </c>
      <c r="I724" s="357">
        <f t="shared" ca="1" si="332"/>
        <v>57.037995525666382</v>
      </c>
      <c r="J724" s="359">
        <f t="shared" ca="1" si="333"/>
        <v>1137.8306382624121</v>
      </c>
      <c r="K724" s="360">
        <f t="shared" ca="1" si="334"/>
        <v>2393.8826593719104</v>
      </c>
      <c r="L724" s="357">
        <f t="shared" ca="1" si="319"/>
        <v>2650.5344269052944</v>
      </c>
      <c r="M724" s="359">
        <f t="shared" ca="1" si="335"/>
        <v>-0.86751246560162898</v>
      </c>
      <c r="N724" s="357">
        <f t="shared" ca="1" si="336"/>
        <v>-49.704802953961348</v>
      </c>
      <c r="O724" s="343"/>
      <c r="P724" s="363">
        <f t="shared" ca="1" si="337"/>
        <v>23</v>
      </c>
      <c r="Q724" s="357">
        <f t="shared" ca="1" si="338"/>
        <v>0</v>
      </c>
      <c r="R724" s="359">
        <f t="shared" ca="1" si="339"/>
        <v>0</v>
      </c>
      <c r="S724" s="360">
        <f t="shared" ca="1" si="340"/>
        <v>10.637999999999975</v>
      </c>
      <c r="T724" s="357">
        <f t="shared" ca="1" si="320"/>
        <v>104.35877999999975</v>
      </c>
      <c r="U724" s="364">
        <f t="shared" ca="1" si="321"/>
        <v>0</v>
      </c>
      <c r="V724" s="359">
        <f t="shared" ca="1" si="322"/>
        <v>0.96309755973662525</v>
      </c>
      <c r="W724" s="357">
        <f t="shared" ca="1" si="323"/>
        <v>7.154823664383442</v>
      </c>
      <c r="X724" s="343"/>
      <c r="Y724" s="367" t="str">
        <f t="shared" ca="1" si="341"/>
        <v/>
      </c>
      <c r="Z724" s="368" t="str">
        <f t="shared" ca="1" si="342"/>
        <v/>
      </c>
      <c r="AA724" s="369" t="str">
        <f t="shared" ca="1" si="343"/>
        <v/>
      </c>
      <c r="AB724" s="344"/>
      <c r="AC724" s="363">
        <f t="shared" ca="1" si="344"/>
        <v>27.000000000000053</v>
      </c>
      <c r="AD724" s="376">
        <f t="shared" ca="1" si="345"/>
        <v>1137.8306382624121</v>
      </c>
      <c r="AE724" s="377" t="e">
        <f t="shared" ca="1" si="324"/>
        <v>#N/A</v>
      </c>
      <c r="AF724" s="344"/>
      <c r="AG724" s="359">
        <f t="shared" ca="1" si="346"/>
        <v>6.7539630327547941</v>
      </c>
      <c r="AH724" s="357">
        <f t="shared" ca="1" si="347"/>
        <v>-0.65636739870014915</v>
      </c>
    </row>
    <row r="725" spans="1:34" x14ac:dyDescent="0.25">
      <c r="A725" s="402">
        <f t="shared" ca="1" si="325"/>
        <v>0.1</v>
      </c>
      <c r="B725" s="357">
        <f t="shared" ca="1" si="326"/>
        <v>27.100000000000055</v>
      </c>
      <c r="C725" s="342"/>
      <c r="D725" s="359">
        <f t="shared" ca="1" si="327"/>
        <v>-0.43496986073448002</v>
      </c>
      <c r="E725" s="360">
        <f t="shared" ca="1" si="328"/>
        <v>-9.2970139763767392</v>
      </c>
      <c r="F725" s="357">
        <f t="shared" ca="1" si="329"/>
        <v>9.3071836586956742</v>
      </c>
      <c r="G725" s="359">
        <f t="shared" ca="1" si="330"/>
        <v>36.844448853968565</v>
      </c>
      <c r="H725" s="360">
        <f t="shared" ca="1" si="331"/>
        <v>-44.433866546368719</v>
      </c>
      <c r="I725" s="357">
        <f t="shared" ca="1" si="332"/>
        <v>57.722455834910654</v>
      </c>
      <c r="J725" s="359">
        <f t="shared" ca="1" si="333"/>
        <v>1141.5172579971127</v>
      </c>
      <c r="K725" s="360">
        <f t="shared" ca="1" si="334"/>
        <v>2389.4857577871553</v>
      </c>
      <c r="L725" s="357">
        <f t="shared" ca="1" si="319"/>
        <v>2648.1510223121531</v>
      </c>
      <c r="M725" s="359">
        <f t="shared" ca="1" si="335"/>
        <v>-0.87850386954017445</v>
      </c>
      <c r="N725" s="357">
        <f t="shared" ca="1" si="336"/>
        <v>-50.334564010563476</v>
      </c>
      <c r="O725" s="343"/>
      <c r="P725" s="363">
        <f t="shared" ca="1" si="337"/>
        <v>23</v>
      </c>
      <c r="Q725" s="357">
        <f t="shared" ca="1" si="338"/>
        <v>0</v>
      </c>
      <c r="R725" s="359">
        <f t="shared" ca="1" si="339"/>
        <v>0</v>
      </c>
      <c r="S725" s="360">
        <f t="shared" ca="1" si="340"/>
        <v>10.637999999999975</v>
      </c>
      <c r="T725" s="357">
        <f t="shared" ca="1" si="320"/>
        <v>104.35877999999975</v>
      </c>
      <c r="U725" s="364">
        <f t="shared" ca="1" si="321"/>
        <v>0</v>
      </c>
      <c r="V725" s="359">
        <f t="shared" ca="1" si="322"/>
        <v>0.96352726364908126</v>
      </c>
      <c r="W725" s="357">
        <f t="shared" ca="1" si="323"/>
        <v>7.3308401668335836</v>
      </c>
      <c r="X725" s="343"/>
      <c r="Y725" s="367" t="str">
        <f t="shared" ca="1" si="341"/>
        <v/>
      </c>
      <c r="Z725" s="368" t="str">
        <f t="shared" ca="1" si="342"/>
        <v/>
      </c>
      <c r="AA725" s="369" t="str">
        <f t="shared" ca="1" si="343"/>
        <v/>
      </c>
      <c r="AB725" s="344"/>
      <c r="AC725" s="363" t="e">
        <f t="shared" ca="1" si="344"/>
        <v>#N/A</v>
      </c>
      <c r="AD725" s="376" t="e">
        <f t="shared" ca="1" si="345"/>
        <v>#N/A</v>
      </c>
      <c r="AE725" s="377" t="e">
        <f t="shared" ca="1" si="324"/>
        <v>#N/A</v>
      </c>
      <c r="AF725" s="344"/>
      <c r="AG725" s="359">
        <f t="shared" ca="1" si="346"/>
        <v>6.8097359168021434</v>
      </c>
      <c r="AH725" s="357">
        <f t="shared" ca="1" si="347"/>
        <v>-0.67257225647522645</v>
      </c>
    </row>
    <row r="726" spans="1:34" x14ac:dyDescent="0.25">
      <c r="A726" s="402">
        <f t="shared" ca="1" si="325"/>
        <v>0.1</v>
      </c>
      <c r="B726" s="357">
        <f t="shared" ca="1" si="326"/>
        <v>27.200000000000056</v>
      </c>
      <c r="C726" s="342"/>
      <c r="D726" s="359">
        <f t="shared" ca="1" si="327"/>
        <v>-0.43986664327985281</v>
      </c>
      <c r="E726" s="360">
        <f t="shared" ca="1" si="328"/>
        <v>-9.2795272603164225</v>
      </c>
      <c r="F726" s="357">
        <f t="shared" ca="1" si="329"/>
        <v>9.289946654250814</v>
      </c>
      <c r="G726" s="359">
        <f t="shared" ca="1" si="330"/>
        <v>36.800462189640577</v>
      </c>
      <c r="H726" s="360">
        <f t="shared" ca="1" si="331"/>
        <v>-45.361819272400361</v>
      </c>
      <c r="I726" s="357">
        <f t="shared" ca="1" si="332"/>
        <v>58.41205924355927</v>
      </c>
      <c r="J726" s="359">
        <f t="shared" ca="1" si="333"/>
        <v>1145.199503549293</v>
      </c>
      <c r="K726" s="360">
        <f t="shared" ca="1" si="334"/>
        <v>2384.9959734962167</v>
      </c>
      <c r="L726" s="357">
        <f t="shared" ca="1" si="319"/>
        <v>2645.6922905966812</v>
      </c>
      <c r="M726" s="359">
        <f t="shared" ca="1" si="335"/>
        <v>-0.88922404942878541</v>
      </c>
      <c r="N726" s="357">
        <f t="shared" ca="1" si="336"/>
        <v>-50.948785073801908</v>
      </c>
      <c r="O726" s="343"/>
      <c r="P726" s="363">
        <f t="shared" ca="1" si="337"/>
        <v>23</v>
      </c>
      <c r="Q726" s="357">
        <f t="shared" ca="1" si="338"/>
        <v>0</v>
      </c>
      <c r="R726" s="359">
        <f t="shared" ca="1" si="339"/>
        <v>0</v>
      </c>
      <c r="S726" s="360">
        <f t="shared" ca="1" si="340"/>
        <v>10.637999999999975</v>
      </c>
      <c r="T726" s="357">
        <f t="shared" ca="1" si="320"/>
        <v>104.35877999999975</v>
      </c>
      <c r="U726" s="364">
        <f t="shared" ca="1" si="321"/>
        <v>0</v>
      </c>
      <c r="V726" s="359">
        <f t="shared" ca="1" si="322"/>
        <v>0.96396621906994695</v>
      </c>
      <c r="W726" s="357">
        <f t="shared" ca="1" si="323"/>
        <v>7.5104678540346832</v>
      </c>
      <c r="X726" s="343"/>
      <c r="Y726" s="367" t="str">
        <f t="shared" ca="1" si="341"/>
        <v/>
      </c>
      <c r="Z726" s="368" t="str">
        <f t="shared" ca="1" si="342"/>
        <v/>
      </c>
      <c r="AA726" s="369" t="str">
        <f t="shared" ca="1" si="343"/>
        <v/>
      </c>
      <c r="AB726" s="344"/>
      <c r="AC726" s="363" t="e">
        <f t="shared" ca="1" si="344"/>
        <v>#N/A</v>
      </c>
      <c r="AD726" s="376" t="e">
        <f t="shared" ca="1" si="345"/>
        <v>#N/A</v>
      </c>
      <c r="AE726" s="377" t="e">
        <f t="shared" ca="1" si="324"/>
        <v>#N/A</v>
      </c>
      <c r="AF726" s="344"/>
      <c r="AG726" s="359">
        <f t="shared" ca="1" si="346"/>
        <v>6.8624701795488372</v>
      </c>
      <c r="AH726" s="357">
        <f t="shared" ca="1" si="347"/>
        <v>-0.68911827099394629</v>
      </c>
    </row>
    <row r="727" spans="1:34" x14ac:dyDescent="0.25">
      <c r="A727" s="402">
        <f t="shared" ca="1" si="325"/>
        <v>0.1</v>
      </c>
      <c r="B727" s="357">
        <f t="shared" ca="1" si="326"/>
        <v>27.300000000000058</v>
      </c>
      <c r="C727" s="342"/>
      <c r="D727" s="359">
        <f t="shared" ca="1" si="327"/>
        <v>-0.44479281352197292</v>
      </c>
      <c r="E727" s="360">
        <f t="shared" ca="1" si="328"/>
        <v>-9.261729407183207</v>
      </c>
      <c r="F727" s="357">
        <f t="shared" ca="1" si="329"/>
        <v>9.2724038015415928</v>
      </c>
      <c r="G727" s="359">
        <f t="shared" ca="1" si="330"/>
        <v>36.755982908288381</v>
      </c>
      <c r="H727" s="360">
        <f t="shared" ca="1" si="331"/>
        <v>-46.287992213118685</v>
      </c>
      <c r="I727" s="357">
        <f t="shared" ca="1" si="332"/>
        <v>59.106518275703941</v>
      </c>
      <c r="J727" s="359">
        <f t="shared" ca="1" si="333"/>
        <v>1148.8773258041895</v>
      </c>
      <c r="K727" s="360">
        <f t="shared" ca="1" si="334"/>
        <v>2380.4134829219406</v>
      </c>
      <c r="L727" s="357">
        <f t="shared" ca="1" si="319"/>
        <v>2643.1586141250677</v>
      </c>
      <c r="M727" s="359">
        <f t="shared" ca="1" si="335"/>
        <v>-0.89968069289425334</v>
      </c>
      <c r="N727" s="357">
        <f t="shared" ca="1" si="336"/>
        <v>-51.547906612246273</v>
      </c>
      <c r="O727" s="343"/>
      <c r="P727" s="363">
        <f t="shared" ca="1" si="337"/>
        <v>23</v>
      </c>
      <c r="Q727" s="357">
        <f t="shared" ca="1" si="338"/>
        <v>0</v>
      </c>
      <c r="R727" s="359">
        <f t="shared" ca="1" si="339"/>
        <v>0</v>
      </c>
      <c r="S727" s="360">
        <f t="shared" ca="1" si="340"/>
        <v>10.637999999999975</v>
      </c>
      <c r="T727" s="357">
        <f t="shared" ca="1" si="320"/>
        <v>104.35877999999975</v>
      </c>
      <c r="U727" s="364">
        <f t="shared" ca="1" si="321"/>
        <v>0</v>
      </c>
      <c r="V727" s="359">
        <f t="shared" ca="1" si="322"/>
        <v>0.96441441977338593</v>
      </c>
      <c r="W727" s="357">
        <f t="shared" ca="1" si="323"/>
        <v>7.6936884005684991</v>
      </c>
      <c r="X727" s="343"/>
      <c r="Y727" s="367" t="str">
        <f t="shared" ca="1" si="341"/>
        <v/>
      </c>
      <c r="Z727" s="368" t="str">
        <f t="shared" ca="1" si="342"/>
        <v/>
      </c>
      <c r="AA727" s="369" t="str">
        <f t="shared" ca="1" si="343"/>
        <v/>
      </c>
      <c r="AB727" s="344"/>
      <c r="AC727" s="363" t="e">
        <f t="shared" ca="1" si="344"/>
        <v>#N/A</v>
      </c>
      <c r="AD727" s="376" t="e">
        <f t="shared" ca="1" si="345"/>
        <v>#N/A</v>
      </c>
      <c r="AE727" s="377" t="e">
        <f t="shared" ca="1" si="324"/>
        <v>#N/A</v>
      </c>
      <c r="AF727" s="344"/>
      <c r="AG727" s="359">
        <f t="shared" ca="1" si="346"/>
        <v>6.9122766707938181</v>
      </c>
      <c r="AH727" s="357">
        <f t="shared" ca="1" si="347"/>
        <v>-0.70600374638416064</v>
      </c>
    </row>
    <row r="728" spans="1:34" x14ac:dyDescent="0.25">
      <c r="A728" s="402">
        <f t="shared" ca="1" si="325"/>
        <v>0.1</v>
      </c>
      <c r="B728" s="357">
        <f t="shared" ca="1" si="326"/>
        <v>27.400000000000059</v>
      </c>
      <c r="C728" s="342"/>
      <c r="D728" s="359">
        <f t="shared" ca="1" si="327"/>
        <v>-0.44974595960605351</v>
      </c>
      <c r="E728" s="360">
        <f t="shared" ca="1" si="328"/>
        <v>-9.2436204386624574</v>
      </c>
      <c r="F728" s="357">
        <f t="shared" ca="1" si="329"/>
        <v>9.254555107742366</v>
      </c>
      <c r="G728" s="359">
        <f t="shared" ca="1" si="330"/>
        <v>36.711008312327778</v>
      </c>
      <c r="H728" s="360">
        <f t="shared" ca="1" si="331"/>
        <v>-47.212354256984931</v>
      </c>
      <c r="I728" s="357">
        <f t="shared" ca="1" si="332"/>
        <v>59.80555597764176</v>
      </c>
      <c r="J728" s="359">
        <f t="shared" ca="1" si="333"/>
        <v>1152.5506753652203</v>
      </c>
      <c r="K728" s="360">
        <f t="shared" ca="1" si="334"/>
        <v>2375.7384655984356</v>
      </c>
      <c r="L728" s="357">
        <f t="shared" ca="1" si="319"/>
        <v>2640.5503813047826</v>
      </c>
      <c r="M728" s="359">
        <f t="shared" ca="1" si="335"/>
        <v>-0.90988133875376986</v>
      </c>
      <c r="N728" s="357">
        <f t="shared" ca="1" si="336"/>
        <v>-52.132360568304165</v>
      </c>
      <c r="O728" s="343"/>
      <c r="P728" s="363">
        <f t="shared" ca="1" si="337"/>
        <v>23</v>
      </c>
      <c r="Q728" s="357">
        <f t="shared" ca="1" si="338"/>
        <v>0</v>
      </c>
      <c r="R728" s="359">
        <f t="shared" ca="1" si="339"/>
        <v>0</v>
      </c>
      <c r="S728" s="360">
        <f t="shared" ca="1" si="340"/>
        <v>10.637999999999975</v>
      </c>
      <c r="T728" s="357">
        <f t="shared" ca="1" si="320"/>
        <v>104.35877999999975</v>
      </c>
      <c r="U728" s="364">
        <f t="shared" ca="1" si="321"/>
        <v>0</v>
      </c>
      <c r="V728" s="359">
        <f t="shared" ca="1" si="322"/>
        <v>0.96487185943985809</v>
      </c>
      <c r="W728" s="357">
        <f t="shared" ca="1" si="323"/>
        <v>7.880483195794568</v>
      </c>
      <c r="X728" s="343"/>
      <c r="Y728" s="367" t="str">
        <f t="shared" ca="1" si="341"/>
        <v/>
      </c>
      <c r="Z728" s="368" t="str">
        <f t="shared" ca="1" si="342"/>
        <v/>
      </c>
      <c r="AA728" s="369" t="str">
        <f t="shared" ca="1" si="343"/>
        <v/>
      </c>
      <c r="AB728" s="344"/>
      <c r="AC728" s="363" t="e">
        <f t="shared" ca="1" si="344"/>
        <v>#N/A</v>
      </c>
      <c r="AD728" s="376" t="e">
        <f t="shared" ca="1" si="345"/>
        <v>#N/A</v>
      </c>
      <c r="AE728" s="377" t="e">
        <f t="shared" ca="1" si="324"/>
        <v>#N/A</v>
      </c>
      <c r="AF728" s="344"/>
      <c r="AG728" s="359">
        <f t="shared" ca="1" si="346"/>
        <v>6.9592624989816612</v>
      </c>
      <c r="AH728" s="357">
        <f t="shared" ca="1" si="347"/>
        <v>-0.72322696000832087</v>
      </c>
    </row>
    <row r="729" spans="1:34" x14ac:dyDescent="0.25">
      <c r="A729" s="402">
        <f t="shared" ca="1" si="325"/>
        <v>0.1</v>
      </c>
      <c r="B729" s="357">
        <f t="shared" ca="1" si="326"/>
        <v>27.50000000000006</v>
      </c>
      <c r="C729" s="342"/>
      <c r="D729" s="359">
        <f t="shared" ca="1" si="327"/>
        <v>-0.45472375470137716</v>
      </c>
      <c r="E729" s="360">
        <f t="shared" ca="1" si="328"/>
        <v>-9.2252005084311879</v>
      </c>
      <c r="F729" s="357">
        <f t="shared" ca="1" si="329"/>
        <v>9.2364007120657536</v>
      </c>
      <c r="G729" s="359">
        <f t="shared" ca="1" si="330"/>
        <v>36.665535936857637</v>
      </c>
      <c r="H729" s="360">
        <f t="shared" ca="1" si="331"/>
        <v>-48.134874307828049</v>
      </c>
      <c r="I729" s="357">
        <f t="shared" ca="1" si="332"/>
        <v>60.508905544286648</v>
      </c>
      <c r="J729" s="359">
        <f t="shared" ca="1" si="333"/>
        <v>1156.2195025776796</v>
      </c>
      <c r="K729" s="360">
        <f t="shared" ca="1" si="334"/>
        <v>2370.9711041701948</v>
      </c>
      <c r="L729" s="357">
        <f t="shared" ca="1" si="319"/>
        <v>2637.8679866420553</v>
      </c>
      <c r="M729" s="359">
        <f t="shared" ca="1" si="335"/>
        <v>-0.91983336836718965</v>
      </c>
      <c r="N729" s="357">
        <f t="shared" ca="1" si="336"/>
        <v>-52.70256986274233</v>
      </c>
      <c r="O729" s="343"/>
      <c r="P729" s="363">
        <f t="shared" ca="1" si="337"/>
        <v>23</v>
      </c>
      <c r="Q729" s="357">
        <f t="shared" ca="1" si="338"/>
        <v>0</v>
      </c>
      <c r="R729" s="359">
        <f t="shared" ca="1" si="339"/>
        <v>0</v>
      </c>
      <c r="S729" s="360">
        <f t="shared" ca="1" si="340"/>
        <v>10.637999999999975</v>
      </c>
      <c r="T729" s="357">
        <f t="shared" ca="1" si="320"/>
        <v>104.35877999999975</v>
      </c>
      <c r="U729" s="364">
        <f t="shared" ca="1" si="321"/>
        <v>0</v>
      </c>
      <c r="V729" s="359">
        <f t="shared" ca="1" si="322"/>
        <v>0.96533853165479533</v>
      </c>
      <c r="W729" s="357">
        <f t="shared" ca="1" si="323"/>
        <v>8.070833343587946</v>
      </c>
      <c r="X729" s="343"/>
      <c r="Y729" s="367" t="str">
        <f t="shared" ca="1" si="341"/>
        <v/>
      </c>
      <c r="Z729" s="368" t="str">
        <f t="shared" ca="1" si="342"/>
        <v/>
      </c>
      <c r="AA729" s="369" t="str">
        <f t="shared" ca="1" si="343"/>
        <v/>
      </c>
      <c r="AB729" s="344"/>
      <c r="AC729" s="363" t="e">
        <f t="shared" ca="1" si="344"/>
        <v>#N/A</v>
      </c>
      <c r="AD729" s="376" t="e">
        <f t="shared" ca="1" si="345"/>
        <v>#N/A</v>
      </c>
      <c r="AE729" s="377" t="e">
        <f t="shared" ca="1" si="324"/>
        <v>#N/A</v>
      </c>
      <c r="AF729" s="344"/>
      <c r="AG729" s="359">
        <f t="shared" ca="1" si="346"/>
        <v>7.0035310283496433</v>
      </c>
      <c r="AH729" s="357">
        <f t="shared" ca="1" si="347"/>
        <v>-0.74078616241723882</v>
      </c>
    </row>
    <row r="730" spans="1:34" x14ac:dyDescent="0.25">
      <c r="A730" s="402">
        <f t="shared" ca="1" si="325"/>
        <v>0.1</v>
      </c>
      <c r="B730" s="357">
        <f t="shared" ca="1" si="326"/>
        <v>27.600000000000062</v>
      </c>
      <c r="C730" s="342"/>
      <c r="D730" s="359">
        <f t="shared" ca="1" si="327"/>
        <v>-0.45972395396618149</v>
      </c>
      <c r="E730" s="360">
        <f t="shared" ca="1" si="328"/>
        <v>-9.2064698953652773</v>
      </c>
      <c r="F730" s="357">
        <f t="shared" ca="1" si="329"/>
        <v>9.2179408789662691</v>
      </c>
      <c r="G730" s="359">
        <f t="shared" ca="1" si="330"/>
        <v>36.619563541461019</v>
      </c>
      <c r="H730" s="360">
        <f t="shared" ca="1" si="331"/>
        <v>-49.055521297364578</v>
      </c>
      <c r="I730" s="357">
        <f t="shared" ca="1" si="332"/>
        <v>61.216309948601861</v>
      </c>
      <c r="J730" s="359">
        <f t="shared" ca="1" si="333"/>
        <v>1159.8837575515954</v>
      </c>
      <c r="K730" s="360">
        <f t="shared" ca="1" si="334"/>
        <v>2366.1115843899352</v>
      </c>
      <c r="L730" s="357">
        <f t="shared" ca="1" si="319"/>
        <v>2635.1118307988859</v>
      </c>
      <c r="M730" s="359">
        <f t="shared" ca="1" si="335"/>
        <v>-0.92954399878228988</v>
      </c>
      <c r="N730" s="357">
        <f t="shared" ca="1" si="336"/>
        <v>-53.258948001938947</v>
      </c>
      <c r="O730" s="343"/>
      <c r="P730" s="363">
        <f t="shared" ca="1" si="337"/>
        <v>23</v>
      </c>
      <c r="Q730" s="357">
        <f t="shared" ca="1" si="338"/>
        <v>0</v>
      </c>
      <c r="R730" s="359">
        <f t="shared" ca="1" si="339"/>
        <v>0</v>
      </c>
      <c r="S730" s="360">
        <f t="shared" ca="1" si="340"/>
        <v>10.637999999999975</v>
      </c>
      <c r="T730" s="357">
        <f t="shared" ca="1" si="320"/>
        <v>104.35877999999975</v>
      </c>
      <c r="U730" s="364">
        <f t="shared" ca="1" si="321"/>
        <v>0</v>
      </c>
      <c r="V730" s="359">
        <f t="shared" ca="1" si="322"/>
        <v>0.96581442990737643</v>
      </c>
      <c r="W730" s="357">
        <f t="shared" ca="1" si="323"/>
        <v>8.2647196622944659</v>
      </c>
      <c r="X730" s="343"/>
      <c r="Y730" s="367" t="str">
        <f t="shared" ca="1" si="341"/>
        <v/>
      </c>
      <c r="Z730" s="368" t="str">
        <f t="shared" ca="1" si="342"/>
        <v/>
      </c>
      <c r="AA730" s="369" t="str">
        <f t="shared" ca="1" si="343"/>
        <v/>
      </c>
      <c r="AB730" s="344"/>
      <c r="AC730" s="363" t="e">
        <f t="shared" ca="1" si="344"/>
        <v>#N/A</v>
      </c>
      <c r="AD730" s="376" t="e">
        <f t="shared" ca="1" si="345"/>
        <v>#N/A</v>
      </c>
      <c r="AE730" s="377" t="e">
        <f t="shared" ca="1" si="324"/>
        <v>#N/A</v>
      </c>
      <c r="AF730" s="344"/>
      <c r="AG730" s="359">
        <f t="shared" ca="1" si="346"/>
        <v>7.0451818991341968</v>
      </c>
      <c r="AH730" s="357">
        <f t="shared" ca="1" si="347"/>
        <v>-0.75867957732543378</v>
      </c>
    </row>
    <row r="731" spans="1:34" x14ac:dyDescent="0.25">
      <c r="A731" s="402">
        <f t="shared" ca="1" si="325"/>
        <v>0.1</v>
      </c>
      <c r="B731" s="357">
        <f t="shared" ca="1" si="326"/>
        <v>27.700000000000063</v>
      </c>
      <c r="C731" s="342"/>
      <c r="D731" s="359">
        <f t="shared" ca="1" si="327"/>
        <v>-0.46474439154754893</v>
      </c>
      <c r="E731" s="360">
        <f t="shared" ca="1" si="328"/>
        <v>-9.1874289971648881</v>
      </c>
      <c r="F731" s="357">
        <f t="shared" ca="1" si="329"/>
        <v>9.1991759917625835</v>
      </c>
      <c r="G731" s="359">
        <f t="shared" ca="1" si="330"/>
        <v>36.573089102306263</v>
      </c>
      <c r="H731" s="360">
        <f t="shared" ca="1" si="331"/>
        <v>-49.974264197081069</v>
      </c>
      <c r="I731" s="357">
        <f t="shared" ca="1" si="332"/>
        <v>61.927521575830013</v>
      </c>
      <c r="J731" s="359">
        <f t="shared" ca="1" si="333"/>
        <v>1163.5433901837837</v>
      </c>
      <c r="K731" s="360">
        <f t="shared" ca="1" si="334"/>
        <v>2361.1600951152127</v>
      </c>
      <c r="L731" s="357">
        <f t="shared" ca="1" si="319"/>
        <v>2632.2823206496778</v>
      </c>
      <c r="M731" s="359">
        <f t="shared" ca="1" si="335"/>
        <v>-0.93902027747294214</v>
      </c>
      <c r="N731" s="357">
        <f t="shared" ca="1" si="336"/>
        <v>-53.801898776403078</v>
      </c>
      <c r="O731" s="343"/>
      <c r="P731" s="363">
        <f t="shared" ca="1" si="337"/>
        <v>23</v>
      </c>
      <c r="Q731" s="357">
        <f t="shared" ca="1" si="338"/>
        <v>0</v>
      </c>
      <c r="R731" s="359">
        <f t="shared" ca="1" si="339"/>
        <v>0</v>
      </c>
      <c r="S731" s="360">
        <f t="shared" ca="1" si="340"/>
        <v>10.637999999999975</v>
      </c>
      <c r="T731" s="357">
        <f t="shared" ca="1" si="320"/>
        <v>104.35877999999975</v>
      </c>
      <c r="U731" s="364">
        <f t="shared" ca="1" si="321"/>
        <v>0</v>
      </c>
      <c r="V731" s="359">
        <f t="shared" ca="1" si="322"/>
        <v>0.96629954758939496</v>
      </c>
      <c r="W731" s="357">
        <f t="shared" ca="1" si="323"/>
        <v>8.4621226848923765</v>
      </c>
      <c r="X731" s="343"/>
      <c r="Y731" s="367" t="str">
        <f t="shared" ca="1" si="341"/>
        <v/>
      </c>
      <c r="Z731" s="368" t="str">
        <f t="shared" ca="1" si="342"/>
        <v/>
      </c>
      <c r="AA731" s="369" t="str">
        <f t="shared" ca="1" si="343"/>
        <v/>
      </c>
      <c r="AB731" s="344"/>
      <c r="AC731" s="363" t="e">
        <f t="shared" ca="1" si="344"/>
        <v>#N/A</v>
      </c>
      <c r="AD731" s="376" t="e">
        <f t="shared" ca="1" si="345"/>
        <v>#N/A</v>
      </c>
      <c r="AE731" s="377" t="e">
        <f t="shared" ca="1" si="324"/>
        <v>#N/A</v>
      </c>
      <c r="AF731" s="344"/>
      <c r="AG731" s="359">
        <f t="shared" ca="1" si="346"/>
        <v>7.0843110671936014</v>
      </c>
      <c r="AH731" s="357">
        <f t="shared" ca="1" si="347"/>
        <v>-0.77690540160692656</v>
      </c>
    </row>
    <row r="732" spans="1:34" x14ac:dyDescent="0.25">
      <c r="A732" s="402">
        <f t="shared" ca="1" si="325"/>
        <v>0.1</v>
      </c>
      <c r="B732" s="357">
        <f t="shared" ca="1" si="326"/>
        <v>27.800000000000065</v>
      </c>
      <c r="C732" s="342"/>
      <c r="D732" s="359">
        <f t="shared" ca="1" si="327"/>
        <v>-0.46978297762936061</v>
      </c>
      <c r="E732" s="360">
        <f t="shared" ca="1" si="328"/>
        <v>-9.1680783243748305</v>
      </c>
      <c r="F732" s="357">
        <f t="shared" ca="1" si="329"/>
        <v>9.1801065466552139</v>
      </c>
      <c r="G732" s="359">
        <f t="shared" ca="1" si="330"/>
        <v>36.526110804543329</v>
      </c>
      <c r="H732" s="360">
        <f t="shared" ca="1" si="331"/>
        <v>-50.891072029518554</v>
      </c>
      <c r="I732" s="357">
        <f t="shared" ca="1" si="332"/>
        <v>62.64230186399142</v>
      </c>
      <c r="J732" s="359">
        <f t="shared" ca="1" si="333"/>
        <v>1167.1983501791262</v>
      </c>
      <c r="K732" s="360">
        <f t="shared" ca="1" si="334"/>
        <v>2356.1168283038828</v>
      </c>
      <c r="L732" s="357">
        <f t="shared" ca="1" si="319"/>
        <v>2629.3798693375634</v>
      </c>
      <c r="M732" s="359">
        <f t="shared" ca="1" si="335"/>
        <v>-0.94826907848645114</v>
      </c>
      <c r="N732" s="357">
        <f t="shared" ca="1" si="336"/>
        <v>-54.331816040033459</v>
      </c>
      <c r="O732" s="343"/>
      <c r="P732" s="363">
        <f t="shared" ca="1" si="337"/>
        <v>23</v>
      </c>
      <c r="Q732" s="357">
        <f t="shared" ca="1" si="338"/>
        <v>0</v>
      </c>
      <c r="R732" s="359">
        <f t="shared" ca="1" si="339"/>
        <v>0</v>
      </c>
      <c r="S732" s="360">
        <f t="shared" ca="1" si="340"/>
        <v>10.637999999999975</v>
      </c>
      <c r="T732" s="357">
        <f t="shared" ca="1" si="320"/>
        <v>104.35877999999975</v>
      </c>
      <c r="U732" s="364">
        <f t="shared" ca="1" si="321"/>
        <v>0</v>
      </c>
      <c r="V732" s="359">
        <f t="shared" ca="1" si="322"/>
        <v>0.96679387799421967</v>
      </c>
      <c r="W732" s="357">
        <f t="shared" ca="1" si="323"/>
        <v>8.6630226593499309</v>
      </c>
      <c r="X732" s="343"/>
      <c r="Y732" s="367" t="str">
        <f t="shared" ca="1" si="341"/>
        <v/>
      </c>
      <c r="Z732" s="368" t="str">
        <f t="shared" ca="1" si="342"/>
        <v/>
      </c>
      <c r="AA732" s="369" t="str">
        <f t="shared" ca="1" si="343"/>
        <v/>
      </c>
      <c r="AB732" s="344"/>
      <c r="AC732" s="363" t="e">
        <f t="shared" ca="1" si="344"/>
        <v>#N/A</v>
      </c>
      <c r="AD732" s="376" t="e">
        <f t="shared" ca="1" si="345"/>
        <v>#N/A</v>
      </c>
      <c r="AE732" s="377" t="e">
        <f t="shared" ca="1" si="324"/>
        <v>#N/A</v>
      </c>
      <c r="AF732" s="344"/>
      <c r="AG732" s="359">
        <f t="shared" ca="1" si="346"/>
        <v>7.1210108598043638</v>
      </c>
      <c r="AH732" s="357">
        <f t="shared" ca="1" si="347"/>
        <v>-0.79546180531043398</v>
      </c>
    </row>
    <row r="733" spans="1:34" x14ac:dyDescent="0.25">
      <c r="A733" s="402">
        <f t="shared" ca="1" si="325"/>
        <v>0.1</v>
      </c>
      <c r="B733" s="357">
        <f t="shared" ca="1" si="326"/>
        <v>27.900000000000066</v>
      </c>
      <c r="C733" s="342"/>
      <c r="D733" s="359">
        <f t="shared" ca="1" si="327"/>
        <v>-0.47483769553902683</v>
      </c>
      <c r="E733" s="360">
        <f t="shared" ca="1" si="328"/>
        <v>-9.1484184947771272</v>
      </c>
      <c r="F733" s="357">
        <f t="shared" ca="1" si="329"/>
        <v>9.1607331471168294</v>
      </c>
      <c r="G733" s="359">
        <f t="shared" ca="1" si="330"/>
        <v>36.478627034989429</v>
      </c>
      <c r="H733" s="360">
        <f t="shared" ca="1" si="331"/>
        <v>-51.805913878996265</v>
      </c>
      <c r="I733" s="357">
        <f t="shared" ca="1" si="332"/>
        <v>63.360420951851637</v>
      </c>
      <c r="J733" s="359">
        <f t="shared" ca="1" si="333"/>
        <v>1170.8485870711029</v>
      </c>
      <c r="K733" s="360">
        <f t="shared" ca="1" si="334"/>
        <v>2350.9819790084571</v>
      </c>
      <c r="L733" s="357">
        <f t="shared" ca="1" si="319"/>
        <v>2626.4048963305181</v>
      </c>
      <c r="M733" s="359">
        <f t="shared" ca="1" si="335"/>
        <v>-0.95729709983205769</v>
      </c>
      <c r="N733" s="357">
        <f t="shared" ca="1" si="336"/>
        <v>-54.849083560490733</v>
      </c>
      <c r="O733" s="343"/>
      <c r="P733" s="363">
        <f t="shared" ca="1" si="337"/>
        <v>23</v>
      </c>
      <c r="Q733" s="357">
        <f t="shared" ca="1" si="338"/>
        <v>0</v>
      </c>
      <c r="R733" s="359">
        <f t="shared" ca="1" si="339"/>
        <v>0</v>
      </c>
      <c r="S733" s="360">
        <f t="shared" ca="1" si="340"/>
        <v>10.637999999999975</v>
      </c>
      <c r="T733" s="357">
        <f t="shared" ca="1" si="320"/>
        <v>104.35877999999975</v>
      </c>
      <c r="U733" s="364">
        <f t="shared" ca="1" si="321"/>
        <v>0</v>
      </c>
      <c r="V733" s="359">
        <f t="shared" ca="1" si="322"/>
        <v>0.96729741431583205</v>
      </c>
      <c r="W733" s="357">
        <f t="shared" ca="1" si="323"/>
        <v>8.8673995491689297</v>
      </c>
      <c r="X733" s="343"/>
      <c r="Y733" s="367" t="str">
        <f t="shared" ca="1" si="341"/>
        <v/>
      </c>
      <c r="Z733" s="368" t="str">
        <f t="shared" ca="1" si="342"/>
        <v/>
      </c>
      <c r="AA733" s="369" t="str">
        <f t="shared" ca="1" si="343"/>
        <v/>
      </c>
      <c r="AB733" s="344"/>
      <c r="AC733" s="363" t="e">
        <f t="shared" ca="1" si="344"/>
        <v>#N/A</v>
      </c>
      <c r="AD733" s="376" t="e">
        <f t="shared" ca="1" si="345"/>
        <v>#N/A</v>
      </c>
      <c r="AE733" s="377" t="e">
        <f t="shared" ca="1" si="324"/>
        <v>#N/A</v>
      </c>
      <c r="AF733" s="344"/>
      <c r="AG733" s="359">
        <f t="shared" ca="1" si="346"/>
        <v>7.1553700447605166</v>
      </c>
      <c r="AH733" s="357">
        <f t="shared" ca="1" si="347"/>
        <v>-0.81434693169298278</v>
      </c>
    </row>
    <row r="734" spans="1:34" x14ac:dyDescent="0.25">
      <c r="A734" s="402">
        <f t="shared" ca="1" si="325"/>
        <v>0.1</v>
      </c>
      <c r="B734" s="357">
        <f t="shared" ca="1" si="326"/>
        <v>28.000000000000068</v>
      </c>
      <c r="C734" s="342"/>
      <c r="D734" s="359">
        <f t="shared" ca="1" si="327"/>
        <v>-0.47990659892163245</v>
      </c>
      <c r="E734" s="360">
        <f t="shared" ca="1" si="328"/>
        <v>-9.1284502281336124</v>
      </c>
      <c r="F734" s="357">
        <f t="shared" ca="1" si="329"/>
        <v>9.1410564986330289</v>
      </c>
      <c r="G734" s="359">
        <f t="shared" ca="1" si="330"/>
        <v>36.430636375097265</v>
      </c>
      <c r="H734" s="360">
        <f t="shared" ca="1" si="331"/>
        <v>-52.718758901809629</v>
      </c>
      <c r="I734" s="357">
        <f t="shared" ca="1" si="332"/>
        <v>64.081657335322504</v>
      </c>
      <c r="J734" s="359">
        <f t="shared" ca="1" si="333"/>
        <v>1174.4940502416073</v>
      </c>
      <c r="K734" s="360">
        <f t="shared" ca="1" si="334"/>
        <v>2345.7557453694167</v>
      </c>
      <c r="L734" s="357">
        <f t="shared" ca="1" si="319"/>
        <v>2623.3578274773272</v>
      </c>
      <c r="M734" s="359">
        <f t="shared" ca="1" si="335"/>
        <v>-0.96611086195762663</v>
      </c>
      <c r="N734" s="357">
        <f t="shared" ca="1" si="336"/>
        <v>-55.354074931918085</v>
      </c>
      <c r="O734" s="343"/>
      <c r="P734" s="363">
        <f t="shared" ca="1" si="337"/>
        <v>23</v>
      </c>
      <c r="Q734" s="357">
        <f t="shared" ca="1" si="338"/>
        <v>0</v>
      </c>
      <c r="R734" s="359">
        <f t="shared" ca="1" si="339"/>
        <v>0</v>
      </c>
      <c r="S734" s="360">
        <f t="shared" ca="1" si="340"/>
        <v>10.637999999999975</v>
      </c>
      <c r="T734" s="357">
        <f t="shared" ca="1" si="320"/>
        <v>104.35877999999975</v>
      </c>
      <c r="U734" s="364">
        <f t="shared" ca="1" si="321"/>
        <v>0</v>
      </c>
      <c r="V734" s="359">
        <f t="shared" ca="1" si="322"/>
        <v>0.96781014964794787</v>
      </c>
      <c r="W734" s="357">
        <f t="shared" ca="1" si="323"/>
        <v>9.0752330341052208</v>
      </c>
      <c r="X734" s="343"/>
      <c r="Y734" s="367" t="str">
        <f t="shared" ca="1" si="341"/>
        <v/>
      </c>
      <c r="Z734" s="368" t="str">
        <f t="shared" ca="1" si="342"/>
        <v/>
      </c>
      <c r="AA734" s="369" t="str">
        <f t="shared" ca="1" si="343"/>
        <v/>
      </c>
      <c r="AB734" s="344"/>
      <c r="AC734" s="363">
        <f t="shared" ca="1" si="344"/>
        <v>28.000000000000068</v>
      </c>
      <c r="AD734" s="376">
        <f t="shared" ca="1" si="345"/>
        <v>1174.4940502416073</v>
      </c>
      <c r="AE734" s="377" t="e">
        <f t="shared" ca="1" si="324"/>
        <v>#N/A</v>
      </c>
      <c r="AF734" s="344"/>
      <c r="AG734" s="359">
        <f t="shared" ca="1" si="346"/>
        <v>7.1874739102470029</v>
      </c>
      <c r="AH734" s="357">
        <f t="shared" ca="1" si="347"/>
        <v>-0.83355889727100496</v>
      </c>
    </row>
    <row r="735" spans="1:34" x14ac:dyDescent="0.25">
      <c r="A735" s="402">
        <f t="shared" ca="1" si="325"/>
        <v>0.1</v>
      </c>
      <c r="B735" s="357">
        <f t="shared" ca="1" si="326"/>
        <v>28.100000000000069</v>
      </c>
      <c r="C735" s="342"/>
      <c r="D735" s="359">
        <f t="shared" ca="1" si="327"/>
        <v>-0.48498780898834193</v>
      </c>
      <c r="E735" s="360">
        <f t="shared" ca="1" si="328"/>
        <v>-9.1081743412571665</v>
      </c>
      <c r="F735" s="357">
        <f t="shared" ca="1" si="329"/>
        <v>9.1210774037721407</v>
      </c>
      <c r="G735" s="359">
        <f t="shared" ca="1" si="330"/>
        <v>36.382137594198433</v>
      </c>
      <c r="H735" s="360">
        <f t="shared" ca="1" si="331"/>
        <v>-53.629576335935347</v>
      </c>
      <c r="I735" s="357">
        <f t="shared" ca="1" si="332"/>
        <v>64.805797533053351</v>
      </c>
      <c r="J735" s="359">
        <f t="shared" ca="1" si="333"/>
        <v>1178.134688940072</v>
      </c>
      <c r="K735" s="360">
        <f t="shared" ca="1" si="334"/>
        <v>2340.4383286075295</v>
      </c>
      <c r="L735" s="357">
        <f t="shared" ca="1" si="319"/>
        <v>2620.2390950634881</v>
      </c>
      <c r="M735" s="359">
        <f t="shared" ca="1" si="335"/>
        <v>-0.97471670717573444</v>
      </c>
      <c r="N735" s="357">
        <f t="shared" ca="1" si="336"/>
        <v>-55.847153542058507</v>
      </c>
      <c r="O735" s="343"/>
      <c r="P735" s="363">
        <f t="shared" ca="1" si="337"/>
        <v>23</v>
      </c>
      <c r="Q735" s="357">
        <f t="shared" ca="1" si="338"/>
        <v>0</v>
      </c>
      <c r="R735" s="359">
        <f t="shared" ca="1" si="339"/>
        <v>0</v>
      </c>
      <c r="S735" s="360">
        <f t="shared" ca="1" si="340"/>
        <v>10.637999999999975</v>
      </c>
      <c r="T735" s="357">
        <f t="shared" ca="1" si="320"/>
        <v>104.35877999999975</v>
      </c>
      <c r="U735" s="364">
        <f t="shared" ca="1" si="321"/>
        <v>0</v>
      </c>
      <c r="V735" s="359">
        <f t="shared" ca="1" si="322"/>
        <v>0.96833207698320722</v>
      </c>
      <c r="W735" s="357">
        <f t="shared" ca="1" si="323"/>
        <v>9.286502511057332</v>
      </c>
      <c r="X735" s="343"/>
      <c r="Y735" s="367" t="str">
        <f t="shared" ca="1" si="341"/>
        <v/>
      </c>
      <c r="Z735" s="368" t="str">
        <f t="shared" ca="1" si="342"/>
        <v/>
      </c>
      <c r="AA735" s="369" t="str">
        <f t="shared" ca="1" si="343"/>
        <v/>
      </c>
      <c r="AB735" s="344"/>
      <c r="AC735" s="363" t="e">
        <f t="shared" ca="1" si="344"/>
        <v>#N/A</v>
      </c>
      <c r="AD735" s="376" t="e">
        <f t="shared" ca="1" si="345"/>
        <v>#N/A</v>
      </c>
      <c r="AE735" s="377" t="e">
        <f t="shared" ca="1" si="324"/>
        <v>#N/A</v>
      </c>
      <c r="AF735" s="344"/>
      <c r="AG735" s="359">
        <f t="shared" ca="1" si="346"/>
        <v>7.2174043532709806</v>
      </c>
      <c r="AH735" s="357">
        <f t="shared" ca="1" si="347"/>
        <v>-0.85309579188806561</v>
      </c>
    </row>
    <row r="736" spans="1:34" x14ac:dyDescent="0.25">
      <c r="A736" s="402">
        <f t="shared" ca="1" si="325"/>
        <v>0.1</v>
      </c>
      <c r="B736" s="357">
        <f t="shared" ca="1" si="326"/>
        <v>28.20000000000007</v>
      </c>
      <c r="C736" s="342"/>
      <c r="D736" s="359">
        <f t="shared" ca="1" si="327"/>
        <v>-0.49007951184431348</v>
      </c>
      <c r="E736" s="360">
        <f t="shared" ca="1" si="328"/>
        <v>-9.0875917433910303</v>
      </c>
      <c r="F736" s="357">
        <f t="shared" ca="1" si="329"/>
        <v>9.1007967575635043</v>
      </c>
      <c r="G736" s="359">
        <f t="shared" ca="1" si="330"/>
        <v>36.333129643014004</v>
      </c>
      <c r="H736" s="360">
        <f t="shared" ca="1" si="331"/>
        <v>-54.53833551027445</v>
      </c>
      <c r="I736" s="357">
        <f t="shared" ca="1" si="332"/>
        <v>65.532635761789152</v>
      </c>
      <c r="J736" s="359">
        <f t="shared" ca="1" si="333"/>
        <v>1181.7704523019327</v>
      </c>
      <c r="K736" s="360">
        <f t="shared" ca="1" si="334"/>
        <v>2335.0299330152188</v>
      </c>
      <c r="L736" s="357">
        <f t="shared" ca="1" si="319"/>
        <v>2617.0491378671077</v>
      </c>
      <c r="M736" s="359">
        <f t="shared" ca="1" si="335"/>
        <v>-0.98312079991370738</v>
      </c>
      <c r="N736" s="357">
        <f t="shared" ca="1" si="336"/>
        <v>-56.3286725865809</v>
      </c>
      <c r="O736" s="343"/>
      <c r="P736" s="363">
        <f t="shared" ca="1" si="337"/>
        <v>23</v>
      </c>
      <c r="Q736" s="357">
        <f t="shared" ca="1" si="338"/>
        <v>0</v>
      </c>
      <c r="R736" s="359">
        <f t="shared" ca="1" si="339"/>
        <v>0</v>
      </c>
      <c r="S736" s="360">
        <f t="shared" ca="1" si="340"/>
        <v>10.637999999999975</v>
      </c>
      <c r="T736" s="357">
        <f t="shared" ca="1" si="320"/>
        <v>104.35877999999975</v>
      </c>
      <c r="U736" s="364">
        <f t="shared" ca="1" si="321"/>
        <v>0</v>
      </c>
      <c r="V736" s="359">
        <f t="shared" ca="1" si="322"/>
        <v>0.96886318921243653</v>
      </c>
      <c r="W736" s="357">
        <f t="shared" ca="1" si="323"/>
        <v>9.5011870951153181</v>
      </c>
      <c r="X736" s="343"/>
      <c r="Y736" s="367" t="str">
        <f t="shared" ca="1" si="341"/>
        <v/>
      </c>
      <c r="Z736" s="368" t="str">
        <f t="shared" ca="1" si="342"/>
        <v/>
      </c>
      <c r="AA736" s="369" t="str">
        <f t="shared" ca="1" si="343"/>
        <v/>
      </c>
      <c r="AB736" s="344"/>
      <c r="AC736" s="363" t="e">
        <f t="shared" ca="1" si="344"/>
        <v>#N/A</v>
      </c>
      <c r="AD736" s="376" t="e">
        <f t="shared" ca="1" si="345"/>
        <v>#N/A</v>
      </c>
      <c r="AE736" s="377" t="e">
        <f t="shared" ca="1" si="324"/>
        <v>#N/A</v>
      </c>
      <c r="AF736" s="344"/>
      <c r="AG736" s="359">
        <f t="shared" ca="1" si="346"/>
        <v>7.2452399747184373</v>
      </c>
      <c r="AH736" s="357">
        <f t="shared" ca="1" si="347"/>
        <v>-0.87295567879839764</v>
      </c>
    </row>
    <row r="737" spans="1:34" x14ac:dyDescent="0.25">
      <c r="A737" s="402">
        <f t="shared" ca="1" si="325"/>
        <v>0.1</v>
      </c>
      <c r="B737" s="357">
        <f t="shared" ca="1" si="326"/>
        <v>28.300000000000072</v>
      </c>
      <c r="C737" s="342"/>
      <c r="D737" s="359">
        <f t="shared" ca="1" si="327"/>
        <v>-0.49517995590001979</v>
      </c>
      <c r="E737" s="360">
        <f t="shared" ca="1" si="328"/>
        <v>-9.0667034318765101</v>
      </c>
      <c r="F737" s="357">
        <f t="shared" ca="1" si="329"/>
        <v>9.0802155431645151</v>
      </c>
      <c r="G737" s="359">
        <f t="shared" ca="1" si="330"/>
        <v>36.283611647424003</v>
      </c>
      <c r="H737" s="360">
        <f t="shared" ca="1" si="331"/>
        <v>-55.445005853462099</v>
      </c>
      <c r="I737" s="357">
        <f t="shared" ca="1" si="332"/>
        <v>66.261973621916283</v>
      </c>
      <c r="J737" s="359">
        <f t="shared" ca="1" si="333"/>
        <v>1185.4012893664546</v>
      </c>
      <c r="K737" s="360">
        <f t="shared" ca="1" si="334"/>
        <v>2329.5307659470318</v>
      </c>
      <c r="L737" s="357">
        <f t="shared" ca="1" si="319"/>
        <v>2613.7884012148761</v>
      </c>
      <c r="M737" s="359">
        <f t="shared" ca="1" si="335"/>
        <v>-0.99132912767457981</v>
      </c>
      <c r="N737" s="357">
        <f t="shared" ca="1" si="336"/>
        <v>-56.798975124138963</v>
      </c>
      <c r="O737" s="343"/>
      <c r="P737" s="363">
        <f t="shared" ca="1" si="337"/>
        <v>23</v>
      </c>
      <c r="Q737" s="357">
        <f t="shared" ca="1" si="338"/>
        <v>0</v>
      </c>
      <c r="R737" s="359">
        <f t="shared" ca="1" si="339"/>
        <v>0</v>
      </c>
      <c r="S737" s="360">
        <f t="shared" ca="1" si="340"/>
        <v>10.637999999999975</v>
      </c>
      <c r="T737" s="357">
        <f t="shared" ca="1" si="320"/>
        <v>104.35877999999975</v>
      </c>
      <c r="U737" s="364">
        <f t="shared" ca="1" si="321"/>
        <v>0</v>
      </c>
      <c r="V737" s="359">
        <f t="shared" ca="1" si="322"/>
        <v>0.96940347912397506</v>
      </c>
      <c r="W737" s="357">
        <f t="shared" ca="1" si="323"/>
        <v>9.7192656207622026</v>
      </c>
      <c r="X737" s="343"/>
      <c r="Y737" s="367" t="str">
        <f t="shared" ca="1" si="341"/>
        <v/>
      </c>
      <c r="Z737" s="368" t="str">
        <f t="shared" ca="1" si="342"/>
        <v/>
      </c>
      <c r="AA737" s="369" t="str">
        <f t="shared" ca="1" si="343"/>
        <v/>
      </c>
      <c r="AB737" s="344"/>
      <c r="AC737" s="363" t="e">
        <f t="shared" ca="1" si="344"/>
        <v>#N/A</v>
      </c>
      <c r="AD737" s="376" t="e">
        <f t="shared" ca="1" si="345"/>
        <v>#N/A</v>
      </c>
      <c r="AE737" s="377" t="e">
        <f t="shared" ca="1" si="324"/>
        <v>#N/A</v>
      </c>
      <c r="AF737" s="344"/>
      <c r="AG737" s="359">
        <f t="shared" ca="1" si="346"/>
        <v>7.2710561793599293</v>
      </c>
      <c r="AH737" s="357">
        <f t="shared" ca="1" si="347"/>
        <v>-0.89313659476549545</v>
      </c>
    </row>
    <row r="738" spans="1:34" x14ac:dyDescent="0.25">
      <c r="A738" s="402">
        <f t="shared" ca="1" si="325"/>
        <v>0.1</v>
      </c>
      <c r="B738" s="357">
        <f t="shared" ca="1" si="326"/>
        <v>28.400000000000073</v>
      </c>
      <c r="C738" s="342"/>
      <c r="D738" s="359">
        <f t="shared" ca="1" si="327"/>
        <v>-0.50028744936868952</v>
      </c>
      <c r="E738" s="360">
        <f t="shared" ca="1" si="328"/>
        <v>-9.0455104880902919</v>
      </c>
      <c r="F738" s="357">
        <f t="shared" ca="1" si="329"/>
        <v>9.05933482779764</v>
      </c>
      <c r="G738" s="359">
        <f t="shared" ca="1" si="330"/>
        <v>36.233582902487136</v>
      </c>
      <c r="H738" s="360">
        <f t="shared" ca="1" si="331"/>
        <v>-56.349556902271125</v>
      </c>
      <c r="I738" s="357">
        <f t="shared" ca="1" si="332"/>
        <v>66.993619793482566</v>
      </c>
      <c r="J738" s="359">
        <f t="shared" ca="1" si="333"/>
        <v>1189.0271490939501</v>
      </c>
      <c r="K738" s="360">
        <f t="shared" ca="1" si="334"/>
        <v>2323.9410378092452</v>
      </c>
      <c r="L738" s="357">
        <f t="shared" ca="1" si="319"/>
        <v>2610.4573370381668</v>
      </c>
      <c r="M738" s="359">
        <f t="shared" ca="1" si="335"/>
        <v>-0.99934750260747274</v>
      </c>
      <c r="N738" s="357">
        <f t="shared" ca="1" si="336"/>
        <v>-57.258394166347223</v>
      </c>
      <c r="O738" s="343"/>
      <c r="P738" s="363">
        <f t="shared" ca="1" si="337"/>
        <v>23</v>
      </c>
      <c r="Q738" s="357">
        <f t="shared" ca="1" si="338"/>
        <v>0</v>
      </c>
      <c r="R738" s="359">
        <f t="shared" ca="1" si="339"/>
        <v>0</v>
      </c>
      <c r="S738" s="360">
        <f t="shared" ca="1" si="340"/>
        <v>10.637999999999975</v>
      </c>
      <c r="T738" s="357">
        <f t="shared" ca="1" si="320"/>
        <v>104.35877999999975</v>
      </c>
      <c r="U738" s="364">
        <f t="shared" ca="1" si="321"/>
        <v>0</v>
      </c>
      <c r="V738" s="359">
        <f t="shared" ca="1" si="322"/>
        <v>0.96995293940306015</v>
      </c>
      <c r="W738" s="357">
        <f t="shared" ca="1" si="323"/>
        <v>9.9407166432209095</v>
      </c>
      <c r="X738" s="343"/>
      <c r="Y738" s="367" t="str">
        <f t="shared" ca="1" si="341"/>
        <v/>
      </c>
      <c r="Z738" s="368" t="str">
        <f t="shared" ca="1" si="342"/>
        <v/>
      </c>
      <c r="AA738" s="369" t="str">
        <f t="shared" ca="1" si="343"/>
        <v/>
      </c>
      <c r="AB738" s="344"/>
      <c r="AC738" s="363" t="e">
        <f t="shared" ca="1" si="344"/>
        <v>#N/A</v>
      </c>
      <c r="AD738" s="376" t="e">
        <f t="shared" ca="1" si="345"/>
        <v>#N/A</v>
      </c>
      <c r="AE738" s="377" t="e">
        <f t="shared" ca="1" si="324"/>
        <v>#N/A</v>
      </c>
      <c r="AF738" s="344"/>
      <c r="AG738" s="359">
        <f t="shared" ca="1" si="346"/>
        <v>7.2949252793591324</v>
      </c>
      <c r="AH738" s="357">
        <f t="shared" ca="1" si="347"/>
        <v>-0.91363655017505407</v>
      </c>
    </row>
    <row r="739" spans="1:34" x14ac:dyDescent="0.25">
      <c r="A739" s="402">
        <f t="shared" ca="1" si="325"/>
        <v>0.1</v>
      </c>
      <c r="B739" s="357">
        <f t="shared" ca="1" si="326"/>
        <v>28.500000000000075</v>
      </c>
      <c r="C739" s="342"/>
      <c r="D739" s="359">
        <f t="shared" ca="1" si="327"/>
        <v>-0.50540035785156745</v>
      </c>
      <c r="E739" s="360">
        <f t="shared" ca="1" si="328"/>
        <v>-9.0240140736336016</v>
      </c>
      <c r="F739" s="357">
        <f t="shared" ca="1" si="329"/>
        <v>9.0381557589396415</v>
      </c>
      <c r="G739" s="359">
        <f t="shared" ca="1" si="330"/>
        <v>36.183042866701982</v>
      </c>
      <c r="H739" s="360">
        <f t="shared" ca="1" si="331"/>
        <v>-57.251958309634489</v>
      </c>
      <c r="I739" s="357">
        <f t="shared" ca="1" si="332"/>
        <v>67.727389742863409</v>
      </c>
      <c r="J739" s="359">
        <f t="shared" ca="1" si="333"/>
        <v>1192.6479803824095</v>
      </c>
      <c r="K739" s="360">
        <f t="shared" ca="1" si="334"/>
        <v>2318.2609620486501</v>
      </c>
      <c r="L739" s="357">
        <f t="shared" ca="1" si="319"/>
        <v>2607.0564039293386</v>
      </c>
      <c r="M739" s="359">
        <f t="shared" ca="1" si="335"/>
        <v>-1.0071815635965182</v>
      </c>
      <c r="N739" s="357">
        <f t="shared" ca="1" si="336"/>
        <v>-57.707252797467611</v>
      </c>
      <c r="O739" s="343"/>
      <c r="P739" s="363">
        <f t="shared" ca="1" si="337"/>
        <v>23</v>
      </c>
      <c r="Q739" s="357">
        <f t="shared" ca="1" si="338"/>
        <v>0</v>
      </c>
      <c r="R739" s="359">
        <f t="shared" ca="1" si="339"/>
        <v>0</v>
      </c>
      <c r="S739" s="360">
        <f t="shared" ca="1" si="340"/>
        <v>10.637999999999975</v>
      </c>
      <c r="T739" s="357">
        <f t="shared" ca="1" si="320"/>
        <v>104.35877999999975</v>
      </c>
      <c r="U739" s="364">
        <f t="shared" ca="1" si="321"/>
        <v>0</v>
      </c>
      <c r="V739" s="359">
        <f t="shared" ca="1" si="322"/>
        <v>0.97051156263127436</v>
      </c>
      <c r="W739" s="357">
        <f t="shared" ca="1" si="323"/>
        <v>10.165518439940163</v>
      </c>
      <c r="X739" s="343"/>
      <c r="Y739" s="367" t="str">
        <f t="shared" ca="1" si="341"/>
        <v/>
      </c>
      <c r="Z739" s="368" t="str">
        <f t="shared" ca="1" si="342"/>
        <v/>
      </c>
      <c r="AA739" s="369" t="str">
        <f t="shared" ca="1" si="343"/>
        <v/>
      </c>
      <c r="AB739" s="344"/>
      <c r="AC739" s="363" t="e">
        <f t="shared" ca="1" si="344"/>
        <v>#N/A</v>
      </c>
      <c r="AD739" s="376" t="e">
        <f t="shared" ca="1" si="345"/>
        <v>#N/A</v>
      </c>
      <c r="AE739" s="377" t="e">
        <f t="shared" ca="1" si="324"/>
        <v>#N/A</v>
      </c>
      <c r="AF739" s="344"/>
      <c r="AG739" s="359">
        <f t="shared" ca="1" si="346"/>
        <v>7.3169166000437267</v>
      </c>
      <c r="AH739" s="357">
        <f t="shared" ca="1" si="347"/>
        <v>-0.9344535291615842</v>
      </c>
    </row>
    <row r="740" spans="1:34" x14ac:dyDescent="0.25">
      <c r="A740" s="402">
        <f t="shared" ca="1" si="325"/>
        <v>0.1</v>
      </c>
      <c r="B740" s="357">
        <f t="shared" ca="1" si="326"/>
        <v>28.600000000000076</v>
      </c>
      <c r="C740" s="342"/>
      <c r="D740" s="359">
        <f t="shared" ca="1" si="327"/>
        <v>-0.51051710201184775</v>
      </c>
      <c r="E740" s="360">
        <f t="shared" ca="1" si="328"/>
        <v>-9.0022154267562904</v>
      </c>
      <c r="F740" s="357">
        <f t="shared" ca="1" si="329"/>
        <v>9.016679560746045</v>
      </c>
      <c r="G740" s="359">
        <f t="shared" ca="1" si="330"/>
        <v>36.131991156500796</v>
      </c>
      <c r="H740" s="360">
        <f t="shared" ca="1" si="331"/>
        <v>-58.15217985231012</v>
      </c>
      <c r="I740" s="357">
        <f t="shared" ca="1" si="332"/>
        <v>68.463105440148382</v>
      </c>
      <c r="J740" s="359">
        <f t="shared" ca="1" si="333"/>
        <v>1196.2637320835697</v>
      </c>
      <c r="K740" s="360">
        <f t="shared" ca="1" si="334"/>
        <v>2312.4907551405527</v>
      </c>
      <c r="L740" s="357">
        <f t="shared" ca="1" si="319"/>
        <v>2603.5860671982855</v>
      </c>
      <c r="M740" s="359">
        <f t="shared" ca="1" si="335"/>
        <v>-1.0148367787872192</v>
      </c>
      <c r="N740" s="357">
        <f t="shared" ca="1" si="336"/>
        <v>-58.145864319159216</v>
      </c>
      <c r="O740" s="343"/>
      <c r="P740" s="363">
        <f t="shared" ca="1" si="337"/>
        <v>23</v>
      </c>
      <c r="Q740" s="357">
        <f t="shared" ca="1" si="338"/>
        <v>0</v>
      </c>
      <c r="R740" s="359">
        <f t="shared" ca="1" si="339"/>
        <v>0</v>
      </c>
      <c r="S740" s="360">
        <f t="shared" ca="1" si="340"/>
        <v>10.637999999999975</v>
      </c>
      <c r="T740" s="357">
        <f t="shared" ca="1" si="320"/>
        <v>104.35877999999975</v>
      </c>
      <c r="U740" s="364">
        <f t="shared" ca="1" si="321"/>
        <v>0</v>
      </c>
      <c r="V740" s="359">
        <f t="shared" ca="1" si="322"/>
        <v>0.97107934128604367</v>
      </c>
      <c r="W740" s="357">
        <f t="shared" ca="1" si="323"/>
        <v>10.393649012212986</v>
      </c>
      <c r="X740" s="343"/>
      <c r="Y740" s="367" t="str">
        <f t="shared" ca="1" si="341"/>
        <v/>
      </c>
      <c r="Z740" s="368" t="str">
        <f t="shared" ca="1" si="342"/>
        <v/>
      </c>
      <c r="AA740" s="369" t="str">
        <f t="shared" ca="1" si="343"/>
        <v/>
      </c>
      <c r="AB740" s="344"/>
      <c r="AC740" s="363" t="e">
        <f t="shared" ca="1" si="344"/>
        <v>#N/A</v>
      </c>
      <c r="AD740" s="376" t="e">
        <f t="shared" ca="1" si="345"/>
        <v>#N/A</v>
      </c>
      <c r="AE740" s="377" t="e">
        <f t="shared" ca="1" si="324"/>
        <v>#N/A</v>
      </c>
      <c r="AF740" s="344"/>
      <c r="AG740" s="359">
        <f t="shared" ca="1" si="346"/>
        <v>7.3370965868809712</v>
      </c>
      <c r="AH740" s="357">
        <f t="shared" ca="1" si="347"/>
        <v>-0.95558548974809054</v>
      </c>
    </row>
    <row r="741" spans="1:34" x14ac:dyDescent="0.25">
      <c r="A741" s="402">
        <f t="shared" ca="1" si="325"/>
        <v>0.1</v>
      </c>
      <c r="B741" s="357">
        <f t="shared" ca="1" si="326"/>
        <v>28.700000000000077</v>
      </c>
      <c r="C741" s="342"/>
      <c r="D741" s="359">
        <f t="shared" ca="1" si="327"/>
        <v>-0.51563615533738705</v>
      </c>
      <c r="E741" s="360">
        <f t="shared" ca="1" si="328"/>
        <v>-8.9801158589999677</v>
      </c>
      <c r="F741" s="357">
        <f t="shared" ca="1" si="329"/>
        <v>8.9949075306950128</v>
      </c>
      <c r="G741" s="359">
        <f t="shared" ca="1" si="330"/>
        <v>36.080427540967058</v>
      </c>
      <c r="H741" s="360">
        <f t="shared" ca="1" si="331"/>
        <v>-59.050191438210113</v>
      </c>
      <c r="I741" s="357">
        <f t="shared" ca="1" si="332"/>
        <v>69.200595087240671</v>
      </c>
      <c r="J741" s="359">
        <f t="shared" ca="1" si="333"/>
        <v>1199.8743530184431</v>
      </c>
      <c r="K741" s="360">
        <f t="shared" ca="1" si="334"/>
        <v>2306.6306365760265</v>
      </c>
      <c r="L741" s="357">
        <f t="shared" ca="1" si="319"/>
        <v>2600.0467989293102</v>
      </c>
      <c r="M741" s="359">
        <f t="shared" ca="1" si="335"/>
        <v>-1.0223184484780652</v>
      </c>
      <c r="N741" s="357">
        <f t="shared" ca="1" si="336"/>
        <v>-58.574532416155634</v>
      </c>
      <c r="O741" s="343"/>
      <c r="P741" s="363">
        <f t="shared" ca="1" si="337"/>
        <v>23</v>
      </c>
      <c r="Q741" s="357">
        <f t="shared" ca="1" si="338"/>
        <v>0</v>
      </c>
      <c r="R741" s="359">
        <f t="shared" ca="1" si="339"/>
        <v>0</v>
      </c>
      <c r="S741" s="360">
        <f t="shared" ca="1" si="340"/>
        <v>10.637999999999975</v>
      </c>
      <c r="T741" s="357">
        <f t="shared" ca="1" si="320"/>
        <v>104.35877999999975</v>
      </c>
      <c r="U741" s="364">
        <f t="shared" ca="1" si="321"/>
        <v>0</v>
      </c>
      <c r="V741" s="359">
        <f t="shared" ca="1" si="322"/>
        <v>0.9716562677401871</v>
      </c>
      <c r="W741" s="357">
        <f t="shared" ca="1" si="323"/>
        <v>10.625086086922142</v>
      </c>
      <c r="X741" s="343"/>
      <c r="Y741" s="367" t="str">
        <f t="shared" ca="1" si="341"/>
        <v/>
      </c>
      <c r="Z741" s="368" t="str">
        <f t="shared" ca="1" si="342"/>
        <v/>
      </c>
      <c r="AA741" s="369" t="str">
        <f t="shared" ca="1" si="343"/>
        <v/>
      </c>
      <c r="AB741" s="344"/>
      <c r="AC741" s="363" t="e">
        <f t="shared" ca="1" si="344"/>
        <v>#N/A</v>
      </c>
      <c r="AD741" s="376" t="e">
        <f t="shared" ca="1" si="345"/>
        <v>#N/A</v>
      </c>
      <c r="AE741" s="377" t="e">
        <f t="shared" ca="1" si="324"/>
        <v>#N/A</v>
      </c>
      <c r="AF741" s="344"/>
      <c r="AG741" s="359">
        <f t="shared" ca="1" si="346"/>
        <v>7.3555289127626002</v>
      </c>
      <c r="AH741" s="357">
        <f t="shared" ca="1" si="347"/>
        <v>-0.97703036399821497</v>
      </c>
    </row>
    <row r="742" spans="1:34" x14ac:dyDescent="0.25">
      <c r="A742" s="402">
        <f t="shared" ca="1" si="325"/>
        <v>0.1</v>
      </c>
      <c r="B742" s="357">
        <f t="shared" ca="1" si="326"/>
        <v>28.800000000000079</v>
      </c>
      <c r="C742" s="342"/>
      <c r="D742" s="359">
        <f t="shared" ca="1" si="327"/>
        <v>-0.52075604199171655</v>
      </c>
      <c r="E742" s="360">
        <f t="shared" ca="1" si="328"/>
        <v>-8.9577167520451386</v>
      </c>
      <c r="F742" s="357">
        <f t="shared" ca="1" si="329"/>
        <v>8.972841036435506</v>
      </c>
      <c r="G742" s="359">
        <f t="shared" ca="1" si="330"/>
        <v>36.028351936767884</v>
      </c>
      <c r="H742" s="360">
        <f t="shared" ca="1" si="331"/>
        <v>-59.945963113414628</v>
      </c>
      <c r="I742" s="357">
        <f t="shared" ca="1" si="332"/>
        <v>69.939692856592345</v>
      </c>
      <c r="J742" s="359">
        <f t="shared" ca="1" si="333"/>
        <v>1203.4797919923299</v>
      </c>
      <c r="K742" s="360">
        <f t="shared" ca="1" si="334"/>
        <v>2300.6808288484453</v>
      </c>
      <c r="L742" s="357">
        <f t="shared" ca="1" si="319"/>
        <v>2596.4390780383565</v>
      </c>
      <c r="M742" s="359">
        <f t="shared" ca="1" si="335"/>
        <v>-1.0296317083133633</v>
      </c>
      <c r="N742" s="357">
        <f t="shared" ca="1" si="336"/>
        <v>-58.993551339200749</v>
      </c>
      <c r="O742" s="343"/>
      <c r="P742" s="363">
        <f t="shared" ca="1" si="337"/>
        <v>23</v>
      </c>
      <c r="Q742" s="357">
        <f t="shared" ca="1" si="338"/>
        <v>0</v>
      </c>
      <c r="R742" s="359">
        <f t="shared" ca="1" si="339"/>
        <v>0</v>
      </c>
      <c r="S742" s="360">
        <f t="shared" ca="1" si="340"/>
        <v>10.637999999999975</v>
      </c>
      <c r="T742" s="357">
        <f t="shared" ca="1" si="320"/>
        <v>104.35877999999975</v>
      </c>
      <c r="U742" s="364">
        <f t="shared" ca="1" si="321"/>
        <v>0</v>
      </c>
      <c r="V742" s="359">
        <f t="shared" ca="1" si="322"/>
        <v>0.97224233426151618</v>
      </c>
      <c r="W742" s="357">
        <f t="shared" ca="1" si="323"/>
        <v>10.859807118406923</v>
      </c>
      <c r="X742" s="343"/>
      <c r="Y742" s="367" t="str">
        <f t="shared" ca="1" si="341"/>
        <v/>
      </c>
      <c r="Z742" s="368" t="str">
        <f t="shared" ca="1" si="342"/>
        <v/>
      </c>
      <c r="AA742" s="369" t="str">
        <f t="shared" ca="1" si="343"/>
        <v/>
      </c>
      <c r="AB742" s="344"/>
      <c r="AC742" s="363" t="e">
        <f t="shared" ca="1" si="344"/>
        <v>#N/A</v>
      </c>
      <c r="AD742" s="376" t="e">
        <f t="shared" ca="1" si="345"/>
        <v>#N/A</v>
      </c>
      <c r="AE742" s="377" t="e">
        <f t="shared" ca="1" si="324"/>
        <v>#N/A</v>
      </c>
      <c r="AF742" s="344"/>
      <c r="AG742" s="359">
        <f t="shared" ca="1" si="346"/>
        <v>7.3722745848465898</v>
      </c>
      <c r="AH742" s="357">
        <f t="shared" ca="1" si="347"/>
        <v>-0.99878605818031274</v>
      </c>
    </row>
    <row r="743" spans="1:34" x14ac:dyDescent="0.25">
      <c r="A743" s="402">
        <f t="shared" ca="1" si="325"/>
        <v>0.1</v>
      </c>
      <c r="B743" s="357">
        <f t="shared" ca="1" si="326"/>
        <v>28.90000000000008</v>
      </c>
      <c r="C743" s="342"/>
      <c r="D743" s="359">
        <f t="shared" ca="1" si="327"/>
        <v>-0.52587533475234927</v>
      </c>
      <c r="E743" s="360">
        <f t="shared" ca="1" si="328"/>
        <v>-8.935019554748278</v>
      </c>
      <c r="F743" s="357">
        <f t="shared" ca="1" si="329"/>
        <v>8.9504815128257214</v>
      </c>
      <c r="G743" s="359">
        <f t="shared" ca="1" si="330"/>
        <v>35.975764403292651</v>
      </c>
      <c r="H743" s="360">
        <f t="shared" ca="1" si="331"/>
        <v>-60.839465068889453</v>
      </c>
      <c r="I743" s="357">
        <f t="shared" ca="1" si="332"/>
        <v>70.680238640442056</v>
      </c>
      <c r="J743" s="359">
        <f t="shared" ca="1" si="333"/>
        <v>1207.0799978093328</v>
      </c>
      <c r="K743" s="360">
        <f t="shared" ca="1" si="334"/>
        <v>2294.64155743933</v>
      </c>
      <c r="L743" s="357">
        <f t="shared" ca="1" si="319"/>
        <v>2592.7633903306669</v>
      </c>
      <c r="M743" s="359">
        <f t="shared" ca="1" si="335"/>
        <v>-1.0367815327206358</v>
      </c>
      <c r="N743" s="357">
        <f t="shared" ca="1" si="336"/>
        <v>-59.403206101997093</v>
      </c>
      <c r="O743" s="343"/>
      <c r="P743" s="363">
        <f t="shared" ca="1" si="337"/>
        <v>23</v>
      </c>
      <c r="Q743" s="357">
        <f t="shared" ca="1" si="338"/>
        <v>0</v>
      </c>
      <c r="R743" s="359">
        <f t="shared" ca="1" si="339"/>
        <v>0</v>
      </c>
      <c r="S743" s="360">
        <f t="shared" ca="1" si="340"/>
        <v>10.637999999999975</v>
      </c>
      <c r="T743" s="357">
        <f t="shared" ca="1" si="320"/>
        <v>104.35877999999975</v>
      </c>
      <c r="U743" s="364">
        <f t="shared" ca="1" si="321"/>
        <v>0</v>
      </c>
      <c r="V743" s="359">
        <f t="shared" ca="1" si="322"/>
        <v>0.97283753301248155</v>
      </c>
      <c r="W743" s="357">
        <f t="shared" ca="1" si="323"/>
        <v>11.097789290446249</v>
      </c>
      <c r="X743" s="343"/>
      <c r="Y743" s="367" t="str">
        <f t="shared" ca="1" si="341"/>
        <v/>
      </c>
      <c r="Z743" s="368" t="str">
        <f t="shared" ca="1" si="342"/>
        <v/>
      </c>
      <c r="AA743" s="369" t="str">
        <f t="shared" ca="1" si="343"/>
        <v/>
      </c>
      <c r="AB743" s="344"/>
      <c r="AC743" s="363" t="e">
        <f t="shared" ca="1" si="344"/>
        <v>#N/A</v>
      </c>
      <c r="AD743" s="376" t="e">
        <f t="shared" ca="1" si="345"/>
        <v>#N/A</v>
      </c>
      <c r="AE743" s="377" t="e">
        <f t="shared" ca="1" si="324"/>
        <v>#N/A</v>
      </c>
      <c r="AF743" s="344"/>
      <c r="AG743" s="359">
        <f t="shared" ca="1" si="346"/>
        <v>7.3873920503291881</v>
      </c>
      <c r="AH743" s="357">
        <f t="shared" ca="1" si="347"/>
        <v>-1.0208504529429356</v>
      </c>
    </row>
    <row r="744" spans="1:34" x14ac:dyDescent="0.25">
      <c r="A744" s="402">
        <f t="shared" ca="1" si="325"/>
        <v>0.1</v>
      </c>
      <c r="B744" s="357">
        <f t="shared" ca="1" si="326"/>
        <v>29.000000000000082</v>
      </c>
      <c r="C744" s="342"/>
      <c r="D744" s="359">
        <f t="shared" ca="1" si="327"/>
        <v>-0.5309926530349709</v>
      </c>
      <c r="E744" s="360">
        <f t="shared" ca="1" si="328"/>
        <v>-8.9120257803555845</v>
      </c>
      <c r="F744" s="357">
        <f t="shared" ca="1" si="329"/>
        <v>8.9278304591484972</v>
      </c>
      <c r="G744" s="359">
        <f t="shared" ca="1" si="330"/>
        <v>35.922665137989156</v>
      </c>
      <c r="H744" s="360">
        <f t="shared" ca="1" si="331"/>
        <v>-61.730667646925014</v>
      </c>
      <c r="I744" s="357">
        <f t="shared" ca="1" si="332"/>
        <v>71.422077810374688</v>
      </c>
      <c r="J744" s="359">
        <f t="shared" ca="1" si="333"/>
        <v>1210.674919286397</v>
      </c>
      <c r="K744" s="360">
        <f t="shared" ca="1" si="334"/>
        <v>2288.513050803539</v>
      </c>
      <c r="L744" s="357">
        <f t="shared" ca="1" si="319"/>
        <v>2589.020228558913</v>
      </c>
      <c r="M744" s="359">
        <f t="shared" ca="1" si="335"/>
        <v>-1.0437727385426283</v>
      </c>
      <c r="N744" s="357">
        <f t="shared" ca="1" si="336"/>
        <v>-59.803772689304552</v>
      </c>
      <c r="O744" s="343"/>
      <c r="P744" s="363">
        <f t="shared" ca="1" si="337"/>
        <v>23</v>
      </c>
      <c r="Q744" s="357">
        <f t="shared" ca="1" si="338"/>
        <v>0</v>
      </c>
      <c r="R744" s="359">
        <f t="shared" ca="1" si="339"/>
        <v>0</v>
      </c>
      <c r="S744" s="360">
        <f t="shared" ca="1" si="340"/>
        <v>10.637999999999975</v>
      </c>
      <c r="T744" s="357">
        <f t="shared" ca="1" si="320"/>
        <v>104.35877999999975</v>
      </c>
      <c r="U744" s="364">
        <f t="shared" ca="1" si="321"/>
        <v>0</v>
      </c>
      <c r="V744" s="359">
        <f t="shared" ca="1" si="322"/>
        <v>0.97344185604985733</v>
      </c>
      <c r="W744" s="357">
        <f t="shared" ca="1" si="323"/>
        <v>11.339009518353176</v>
      </c>
      <c r="X744" s="343"/>
      <c r="Y744" s="367" t="str">
        <f t="shared" ca="1" si="341"/>
        <v/>
      </c>
      <c r="Z744" s="368" t="str">
        <f t="shared" ca="1" si="342"/>
        <v/>
      </c>
      <c r="AA744" s="369" t="str">
        <f t="shared" ca="1" si="343"/>
        <v/>
      </c>
      <c r="AB744" s="344"/>
      <c r="AC744" s="363">
        <f t="shared" ca="1" si="344"/>
        <v>29.000000000000082</v>
      </c>
      <c r="AD744" s="376">
        <f t="shared" ca="1" si="345"/>
        <v>1210.674919286397</v>
      </c>
      <c r="AE744" s="377" t="e">
        <f t="shared" ca="1" si="324"/>
        <v>#N/A</v>
      </c>
      <c r="AF744" s="344"/>
      <c r="AG744" s="359">
        <f t="shared" ca="1" si="346"/>
        <v>7.4009373006306092</v>
      </c>
      <c r="AH744" s="357">
        <f t="shared" ca="1" si="347"/>
        <v>-1.0432214035012479</v>
      </c>
    </row>
    <row r="745" spans="1:34" x14ac:dyDescent="0.25">
      <c r="A745" s="402">
        <f t="shared" ca="1" si="325"/>
        <v>0.1</v>
      </c>
      <c r="B745" s="357">
        <f t="shared" ca="1" si="326"/>
        <v>29.100000000000083</v>
      </c>
      <c r="C745" s="342"/>
      <c r="D745" s="359">
        <f t="shared" ca="1" si="327"/>
        <v>-0.53610666100176363</v>
      </c>
      <c r="E745" s="360">
        <f t="shared" ca="1" si="328"/>
        <v>-8.8887370038810243</v>
      </c>
      <c r="F745" s="357">
        <f t="shared" ca="1" si="329"/>
        <v>8.9048894364912954</v>
      </c>
      <c r="G745" s="359">
        <f t="shared" ca="1" si="330"/>
        <v>35.86905447188898</v>
      </c>
      <c r="H745" s="360">
        <f t="shared" ca="1" si="331"/>
        <v>-62.619541347313117</v>
      </c>
      <c r="I745" s="357">
        <f t="shared" ca="1" si="332"/>
        <v>72.165060986984528</v>
      </c>
      <c r="J745" s="359">
        <f t="shared" ca="1" si="333"/>
        <v>1214.2645052668909</v>
      </c>
      <c r="K745" s="360">
        <f t="shared" ca="1" si="334"/>
        <v>2282.2955403538272</v>
      </c>
      <c r="L745" s="357">
        <f t="shared" ca="1" si="319"/>
        <v>2585.2100924818496</v>
      </c>
      <c r="M745" s="359">
        <f t="shared" ca="1" si="335"/>
        <v>-1.0506099888200231</v>
      </c>
      <c r="N745" s="357">
        <f t="shared" ca="1" si="336"/>
        <v>-60.195518273673926</v>
      </c>
      <c r="O745" s="343"/>
      <c r="P745" s="363">
        <f t="shared" ca="1" si="337"/>
        <v>23</v>
      </c>
      <c r="Q745" s="357">
        <f t="shared" ca="1" si="338"/>
        <v>0</v>
      </c>
      <c r="R745" s="359">
        <f t="shared" ca="1" si="339"/>
        <v>0</v>
      </c>
      <c r="S745" s="360">
        <f t="shared" ca="1" si="340"/>
        <v>10.637999999999975</v>
      </c>
      <c r="T745" s="357">
        <f t="shared" ca="1" si="320"/>
        <v>104.35877999999975</v>
      </c>
      <c r="U745" s="364">
        <f t="shared" ca="1" si="321"/>
        <v>0</v>
      </c>
      <c r="V745" s="359">
        <f t="shared" ca="1" si="322"/>
        <v>0.9740552953244741</v>
      </c>
      <c r="W745" s="357">
        <f t="shared" ca="1" si="323"/>
        <v>11.583444451176394</v>
      </c>
      <c r="X745" s="343"/>
      <c r="Y745" s="367" t="str">
        <f t="shared" ca="1" si="341"/>
        <v/>
      </c>
      <c r="Z745" s="368" t="str">
        <f t="shared" ca="1" si="342"/>
        <v/>
      </c>
      <c r="AA745" s="369" t="str">
        <f t="shared" ca="1" si="343"/>
        <v/>
      </c>
      <c r="AB745" s="344"/>
      <c r="AC745" s="363" t="e">
        <f t="shared" ca="1" si="344"/>
        <v>#N/A</v>
      </c>
      <c r="AD745" s="376" t="e">
        <f t="shared" ca="1" si="345"/>
        <v>#N/A</v>
      </c>
      <c r="AE745" s="377" t="e">
        <f t="shared" ca="1" si="324"/>
        <v>#N/A</v>
      </c>
      <c r="AF745" s="344"/>
      <c r="AG745" s="359">
        <f t="shared" ca="1" si="346"/>
        <v>7.4129639735737927</v>
      </c>
      <c r="AH745" s="357">
        <f t="shared" ca="1" si="347"/>
        <v>-1.0658967398339165</v>
      </c>
    </row>
    <row r="746" spans="1:34" x14ac:dyDescent="0.25">
      <c r="A746" s="402">
        <f t="shared" ca="1" si="325"/>
        <v>0.1</v>
      </c>
      <c r="B746" s="357">
        <f t="shared" ca="1" si="326"/>
        <v>29.200000000000085</v>
      </c>
      <c r="C746" s="342"/>
      <c r="D746" s="359">
        <f t="shared" ca="1" si="327"/>
        <v>-0.54121606575184356</v>
      </c>
      <c r="E746" s="360">
        <f t="shared" ca="1" si="328"/>
        <v>-8.865154859637066</v>
      </c>
      <c r="F746" s="357">
        <f t="shared" ca="1" si="329"/>
        <v>8.88166006527916</v>
      </c>
      <c r="G746" s="359">
        <f t="shared" ca="1" si="330"/>
        <v>35.814932865313793</v>
      </c>
      <c r="H746" s="360">
        <f t="shared" ca="1" si="331"/>
        <v>-63.506056833276823</v>
      </c>
      <c r="I746" s="357">
        <f t="shared" ca="1" si="332"/>
        <v>72.909043819394043</v>
      </c>
      <c r="J746" s="359">
        <f t="shared" ca="1" si="333"/>
        <v>1217.8487046337509</v>
      </c>
      <c r="K746" s="360">
        <f t="shared" ca="1" si="334"/>
        <v>2275.9892604447978</v>
      </c>
      <c r="L746" s="357">
        <f t="shared" ca="1" si="319"/>
        <v>2581.3334889235375</v>
      </c>
      <c r="M746" s="359">
        <f t="shared" ca="1" si="335"/>
        <v>-1.0572977966863868</v>
      </c>
      <c r="N746" s="357">
        <f t="shared" ca="1" si="336"/>
        <v>-60.578701438610956</v>
      </c>
      <c r="O746" s="343"/>
      <c r="P746" s="363">
        <f t="shared" ca="1" si="337"/>
        <v>23</v>
      </c>
      <c r="Q746" s="357">
        <f t="shared" ca="1" si="338"/>
        <v>0</v>
      </c>
      <c r="R746" s="359">
        <f t="shared" ca="1" si="339"/>
        <v>0</v>
      </c>
      <c r="S746" s="360">
        <f t="shared" ca="1" si="340"/>
        <v>10.637999999999975</v>
      </c>
      <c r="T746" s="357">
        <f t="shared" ca="1" si="320"/>
        <v>104.35877999999975</v>
      </c>
      <c r="U746" s="364">
        <f t="shared" ca="1" si="321"/>
        <v>0</v>
      </c>
      <c r="V746" s="359">
        <f t="shared" ca="1" si="322"/>
        <v>0.97467784268098512</v>
      </c>
      <c r="W746" s="357">
        <f t="shared" ca="1" si="323"/>
        <v>11.831070474004338</v>
      </c>
      <c r="X746" s="343"/>
      <c r="Y746" s="367" t="str">
        <f t="shared" ca="1" si="341"/>
        <v/>
      </c>
      <c r="Z746" s="368" t="str">
        <f t="shared" ca="1" si="342"/>
        <v/>
      </c>
      <c r="AA746" s="369" t="str">
        <f t="shared" ca="1" si="343"/>
        <v/>
      </c>
      <c r="AB746" s="344"/>
      <c r="AC746" s="363" t="e">
        <f t="shared" ca="1" si="344"/>
        <v>#N/A</v>
      </c>
      <c r="AD746" s="376" t="e">
        <f t="shared" ca="1" si="345"/>
        <v>#N/A</v>
      </c>
      <c r="AE746" s="377" t="e">
        <f t="shared" ca="1" si="324"/>
        <v>#N/A</v>
      </c>
      <c r="AF746" s="344"/>
      <c r="AG746" s="359">
        <f t="shared" ca="1" si="346"/>
        <v>7.4235234532190502</v>
      </c>
      <c r="AH746" s="357">
        <f t="shared" ca="1" si="347"/>
        <v>-1.0888742668900566</v>
      </c>
    </row>
    <row r="747" spans="1:34" x14ac:dyDescent="0.25">
      <c r="A747" s="402">
        <f t="shared" ca="1" si="325"/>
        <v>0.1</v>
      </c>
      <c r="B747" s="357">
        <f t="shared" ca="1" si="326"/>
        <v>29.300000000000086</v>
      </c>
      <c r="C747" s="342"/>
      <c r="D747" s="359">
        <f t="shared" ca="1" si="327"/>
        <v>-0.54631961559157816</v>
      </c>
      <c r="E747" s="360">
        <f t="shared" ca="1" si="328"/>
        <v>-8.8412810389072689</v>
      </c>
      <c r="F747" s="357">
        <f t="shared" ca="1" si="329"/>
        <v>8.8581440229498032</v>
      </c>
      <c r="G747" s="359">
        <f t="shared" ca="1" si="330"/>
        <v>35.760300903754633</v>
      </c>
      <c r="H747" s="360">
        <f t="shared" ca="1" si="331"/>
        <v>-64.390184937167547</v>
      </c>
      <c r="I747" s="357">
        <f t="shared" ca="1" si="332"/>
        <v>73.653886774356408</v>
      </c>
      <c r="J747" s="359">
        <f t="shared" ca="1" si="333"/>
        <v>1221.4274663222043</v>
      </c>
      <c r="K747" s="360">
        <f t="shared" ca="1" si="334"/>
        <v>2269.5944483562757</v>
      </c>
      <c r="L747" s="357">
        <f t="shared" ca="1" si="319"/>
        <v>2577.3909318331798</v>
      </c>
      <c r="M747" s="359">
        <f t="shared" ca="1" si="335"/>
        <v>-1.0638405293417794</v>
      </c>
      <c r="N747" s="357">
        <f t="shared" ca="1" si="336"/>
        <v>-60.953572406247382</v>
      </c>
      <c r="O747" s="343"/>
      <c r="P747" s="363">
        <f t="shared" ca="1" si="337"/>
        <v>23</v>
      </c>
      <c r="Q747" s="357">
        <f t="shared" ca="1" si="338"/>
        <v>0</v>
      </c>
      <c r="R747" s="359">
        <f t="shared" ca="1" si="339"/>
        <v>0</v>
      </c>
      <c r="S747" s="360">
        <f t="shared" ca="1" si="340"/>
        <v>10.637999999999975</v>
      </c>
      <c r="T747" s="357">
        <f t="shared" ca="1" si="320"/>
        <v>104.35877999999975</v>
      </c>
      <c r="U747" s="364">
        <f t="shared" ca="1" si="321"/>
        <v>0</v>
      </c>
      <c r="V747" s="359">
        <f t="shared" ca="1" si="322"/>
        <v>0.9753094898576703</v>
      </c>
      <c r="W747" s="357">
        <f t="shared" ca="1" si="323"/>
        <v>12.081863710367973</v>
      </c>
      <c r="X747" s="343"/>
      <c r="Y747" s="367" t="str">
        <f t="shared" ca="1" si="341"/>
        <v/>
      </c>
      <c r="Z747" s="368" t="str">
        <f t="shared" ca="1" si="342"/>
        <v/>
      </c>
      <c r="AA747" s="369" t="str">
        <f t="shared" ca="1" si="343"/>
        <v/>
      </c>
      <c r="AB747" s="344"/>
      <c r="AC747" s="363" t="e">
        <f t="shared" ca="1" si="344"/>
        <v>#N/A</v>
      </c>
      <c r="AD747" s="376" t="e">
        <f t="shared" ca="1" si="345"/>
        <v>#N/A</v>
      </c>
      <c r="AE747" s="377" t="e">
        <f t="shared" ca="1" si="324"/>
        <v>#N/A</v>
      </c>
      <c r="AF747" s="344"/>
      <c r="AG747" s="359">
        <f t="shared" ca="1" si="346"/>
        <v>7.4326649670894742</v>
      </c>
      <c r="AH747" s="357">
        <f t="shared" ca="1" si="347"/>
        <v>-1.112151764805825</v>
      </c>
    </row>
    <row r="748" spans="1:34" x14ac:dyDescent="0.25">
      <c r="A748" s="402">
        <f t="shared" ca="1" si="325"/>
        <v>0.1</v>
      </c>
      <c r="B748" s="357">
        <f t="shared" ca="1" si="326"/>
        <v>29.400000000000087</v>
      </c>
      <c r="C748" s="342"/>
      <c r="D748" s="359">
        <f t="shared" ca="1" si="327"/>
        <v>-0.55141609838239602</v>
      </c>
      <c r="E748" s="360">
        <f t="shared" ca="1" si="328"/>
        <v>-8.8171172877506212</v>
      </c>
      <c r="F748" s="357">
        <f t="shared" ca="1" si="329"/>
        <v>8.8343430417607252</v>
      </c>
      <c r="G748" s="359">
        <f t="shared" ca="1" si="330"/>
        <v>35.705159293916395</v>
      </c>
      <c r="H748" s="360">
        <f t="shared" ca="1" si="331"/>
        <v>-65.271896665942606</v>
      </c>
      <c r="I748" s="357">
        <f t="shared" ca="1" si="332"/>
        <v>74.399454934652809</v>
      </c>
      <c r="J748" s="359">
        <f t="shared" ca="1" si="333"/>
        <v>1225.0007393320877</v>
      </c>
      <c r="K748" s="360">
        <f t="shared" ca="1" si="334"/>
        <v>2263.1113442761202</v>
      </c>
      <c r="L748" s="357">
        <f t="shared" ca="1" si="319"/>
        <v>2573.3829423456259</v>
      </c>
      <c r="M748" s="359">
        <f t="shared" ca="1" si="335"/>
        <v>-1.070242412075828</v>
      </c>
      <c r="N748" s="357">
        <f t="shared" ca="1" si="336"/>
        <v>-61.320373267846037</v>
      </c>
      <c r="O748" s="343"/>
      <c r="P748" s="363">
        <f t="shared" ca="1" si="337"/>
        <v>23</v>
      </c>
      <c r="Q748" s="357">
        <f t="shared" ca="1" si="338"/>
        <v>0</v>
      </c>
      <c r="R748" s="359">
        <f t="shared" ca="1" si="339"/>
        <v>0</v>
      </c>
      <c r="S748" s="360">
        <f t="shared" ca="1" si="340"/>
        <v>10.637999999999975</v>
      </c>
      <c r="T748" s="357">
        <f t="shared" ca="1" si="320"/>
        <v>104.35877999999975</v>
      </c>
      <c r="U748" s="364">
        <f t="shared" ca="1" si="321"/>
        <v>0</v>
      </c>
      <c r="V748" s="359">
        <f t="shared" ca="1" si="322"/>
        <v>0.97595022848627921</v>
      </c>
      <c r="W748" s="357">
        <f t="shared" ca="1" si="323"/>
        <v>12.335800024738498</v>
      </c>
      <c r="X748" s="343"/>
      <c r="Y748" s="367" t="str">
        <f t="shared" ca="1" si="341"/>
        <v/>
      </c>
      <c r="Z748" s="368" t="str">
        <f t="shared" ca="1" si="342"/>
        <v/>
      </c>
      <c r="AA748" s="369" t="str">
        <f t="shared" ca="1" si="343"/>
        <v/>
      </c>
      <c r="AB748" s="344"/>
      <c r="AC748" s="363" t="e">
        <f t="shared" ca="1" si="344"/>
        <v>#N/A</v>
      </c>
      <c r="AD748" s="376" t="e">
        <f t="shared" ca="1" si="345"/>
        <v>#N/A</v>
      </c>
      <c r="AE748" s="377" t="e">
        <f t="shared" ca="1" si="324"/>
        <v>#N/A</v>
      </c>
      <c r="AF748" s="344"/>
      <c r="AG748" s="359">
        <f t="shared" ca="1" si="346"/>
        <v>7.4404356805842076</v>
      </c>
      <c r="AH748" s="357">
        <f t="shared" ca="1" si="347"/>
        <v>-1.1357269891302877</v>
      </c>
    </row>
    <row r="749" spans="1:34" x14ac:dyDescent="0.25">
      <c r="A749" s="402">
        <f t="shared" ca="1" si="325"/>
        <v>0.1</v>
      </c>
      <c r="B749" s="357">
        <f t="shared" ca="1" si="326"/>
        <v>29.500000000000089</v>
      </c>
      <c r="C749" s="342"/>
      <c r="D749" s="359">
        <f t="shared" ca="1" si="327"/>
        <v>-0.55650433996358306</v>
      </c>
      <c r="E749" s="360">
        <f t="shared" ca="1" si="328"/>
        <v>-8.7926654049281723</v>
      </c>
      <c r="F749" s="357">
        <f t="shared" ca="1" si="329"/>
        <v>8.810258906718861</v>
      </c>
      <c r="G749" s="359">
        <f t="shared" ca="1" si="330"/>
        <v>35.64950885992004</v>
      </c>
      <c r="H749" s="360">
        <f t="shared" ca="1" si="331"/>
        <v>-66.151163206435427</v>
      </c>
      <c r="I749" s="357">
        <f t="shared" ca="1" si="332"/>
        <v>75.145617806482718</v>
      </c>
      <c r="J749" s="359">
        <f t="shared" ca="1" si="333"/>
        <v>1228.5684727397795</v>
      </c>
      <c r="K749" s="360">
        <f t="shared" ca="1" si="334"/>
        <v>2256.5401912825014</v>
      </c>
      <c r="L749" s="357">
        <f t="shared" ca="1" si="319"/>
        <v>2569.3100488425725</v>
      </c>
      <c r="M749" s="359">
        <f t="shared" ca="1" si="335"/>
        <v>-1.0765075323149855</v>
      </c>
      <c r="N749" s="357">
        <f t="shared" ca="1" si="336"/>
        <v>-61.679338215691757</v>
      </c>
      <c r="O749" s="343"/>
      <c r="P749" s="363">
        <f t="shared" ca="1" si="337"/>
        <v>23</v>
      </c>
      <c r="Q749" s="357">
        <f t="shared" ca="1" si="338"/>
        <v>0</v>
      </c>
      <c r="R749" s="359">
        <f t="shared" ca="1" si="339"/>
        <v>0</v>
      </c>
      <c r="S749" s="360">
        <f t="shared" ca="1" si="340"/>
        <v>10.637999999999975</v>
      </c>
      <c r="T749" s="357">
        <f t="shared" ca="1" si="320"/>
        <v>104.35877999999975</v>
      </c>
      <c r="U749" s="364">
        <f t="shared" ca="1" si="321"/>
        <v>0</v>
      </c>
      <c r="V749" s="359">
        <f t="shared" ca="1" si="322"/>
        <v>0.97660005009190276</v>
      </c>
      <c r="W749" s="357">
        <f t="shared" ca="1" si="323"/>
        <v>12.592855025116288</v>
      </c>
      <c r="X749" s="343"/>
      <c r="Y749" s="367" t="str">
        <f t="shared" ca="1" si="341"/>
        <v/>
      </c>
      <c r="Z749" s="368" t="str">
        <f t="shared" ca="1" si="342"/>
        <v/>
      </c>
      <c r="AA749" s="369" t="str">
        <f t="shared" ca="1" si="343"/>
        <v/>
      </c>
      <c r="AB749" s="344"/>
      <c r="AC749" s="363" t="e">
        <f t="shared" ca="1" si="344"/>
        <v>#N/A</v>
      </c>
      <c r="AD749" s="376" t="e">
        <f t="shared" ca="1" si="345"/>
        <v>#N/A</v>
      </c>
      <c r="AE749" s="377" t="e">
        <f t="shared" ca="1" si="324"/>
        <v>#N/A</v>
      </c>
      <c r="AF749" s="344"/>
      <c r="AG749" s="359">
        <f t="shared" ca="1" si="346"/>
        <v>7.4468807884299313</v>
      </c>
      <c r="AH749" s="357">
        <f t="shared" ca="1" si="347"/>
        <v>-1.1595976710602112</v>
      </c>
    </row>
    <row r="750" spans="1:34" x14ac:dyDescent="0.25">
      <c r="A750" s="402">
        <f t="shared" ca="1" si="325"/>
        <v>0.1</v>
      </c>
      <c r="B750" s="357">
        <f t="shared" ca="1" si="326"/>
        <v>29.60000000000009</v>
      </c>
      <c r="C750" s="342"/>
      <c r="D750" s="359">
        <f t="shared" ca="1" si="327"/>
        <v>-0.56158320264747641</v>
      </c>
      <c r="E750" s="360">
        <f t="shared" ca="1" si="328"/>
        <v>-8.7679272399432087</v>
      </c>
      <c r="F750" s="357">
        <f t="shared" ca="1" si="329"/>
        <v>8.7858934536240501</v>
      </c>
      <c r="G750" s="359">
        <f t="shared" ca="1" si="330"/>
        <v>35.59335053965529</v>
      </c>
      <c r="H750" s="360">
        <f t="shared" ca="1" si="331"/>
        <v>-67.027955930429755</v>
      </c>
      <c r="I750" s="357">
        <f t="shared" ca="1" si="332"/>
        <v>75.892249135536971</v>
      </c>
      <c r="J750" s="359">
        <f t="shared" ca="1" si="333"/>
        <v>1232.1306157097583</v>
      </c>
      <c r="K750" s="360">
        <f t="shared" ca="1" si="334"/>
        <v>2249.8812353256581</v>
      </c>
      <c r="L750" s="357">
        <f t="shared" ca="1" si="319"/>
        <v>2565.1727870145155</v>
      </c>
      <c r="M750" s="359">
        <f t="shared" ca="1" si="335"/>
        <v>-1.082639843672194</v>
      </c>
      <c r="N750" s="357">
        <f t="shared" ca="1" si="336"/>
        <v>-62.030693775119943</v>
      </c>
      <c r="O750" s="343"/>
      <c r="P750" s="363">
        <f t="shared" ca="1" si="337"/>
        <v>23</v>
      </c>
      <c r="Q750" s="357">
        <f t="shared" ca="1" si="338"/>
        <v>0</v>
      </c>
      <c r="R750" s="359">
        <f t="shared" ca="1" si="339"/>
        <v>0</v>
      </c>
      <c r="S750" s="360">
        <f t="shared" ca="1" si="340"/>
        <v>10.637999999999975</v>
      </c>
      <c r="T750" s="357">
        <f t="shared" ca="1" si="320"/>
        <v>104.35877999999975</v>
      </c>
      <c r="U750" s="364">
        <f t="shared" ca="1" si="321"/>
        <v>0</v>
      </c>
      <c r="V750" s="359">
        <f t="shared" ca="1" si="322"/>
        <v>0.97725894609287867</v>
      </c>
      <c r="W750" s="357">
        <f t="shared" ca="1" si="323"/>
        <v>12.853004065707806</v>
      </c>
      <c r="X750" s="343"/>
      <c r="Y750" s="367" t="str">
        <f t="shared" ca="1" si="341"/>
        <v/>
      </c>
      <c r="Z750" s="368" t="str">
        <f t="shared" ca="1" si="342"/>
        <v/>
      </c>
      <c r="AA750" s="369" t="str">
        <f t="shared" ca="1" si="343"/>
        <v/>
      </c>
      <c r="AB750" s="344"/>
      <c r="AC750" s="363" t="e">
        <f t="shared" ca="1" si="344"/>
        <v>#N/A</v>
      </c>
      <c r="AD750" s="376" t="e">
        <f t="shared" ca="1" si="345"/>
        <v>#N/A</v>
      </c>
      <c r="AE750" s="377" t="e">
        <f t="shared" ca="1" si="324"/>
        <v>#N/A</v>
      </c>
      <c r="AF750" s="344"/>
      <c r="AG750" s="359">
        <f t="shared" ca="1" si="346"/>
        <v>7.4520436030663806</v>
      </c>
      <c r="AH750" s="357">
        <f t="shared" ca="1" si="347"/>
        <v>-1.1837615176834291</v>
      </c>
    </row>
    <row r="751" spans="1:34" x14ac:dyDescent="0.25">
      <c r="A751" s="402">
        <f t="shared" ca="1" si="325"/>
        <v>0.1</v>
      </c>
      <c r="B751" s="357">
        <f t="shared" ca="1" si="326"/>
        <v>29.700000000000092</v>
      </c>
      <c r="C751" s="342"/>
      <c r="D751" s="359">
        <f t="shared" ca="1" si="327"/>
        <v>-0.56665158378442237</v>
      </c>
      <c r="E751" s="360">
        <f t="shared" ca="1" si="328"/>
        <v>-8.7429046911867854</v>
      </c>
      <c r="F751" s="357">
        <f t="shared" ca="1" si="329"/>
        <v>8.7612485672181055</v>
      </c>
      <c r="G751" s="359">
        <f t="shared" ca="1" si="330"/>
        <v>35.536685381276847</v>
      </c>
      <c r="H751" s="360">
        <f t="shared" ca="1" si="331"/>
        <v>-67.902246399548432</v>
      </c>
      <c r="I751" s="357">
        <f t="shared" ca="1" si="332"/>
        <v>76.639226731438541</v>
      </c>
      <c r="J751" s="359">
        <f t="shared" ca="1" si="333"/>
        <v>1235.687117505805</v>
      </c>
      <c r="K751" s="360">
        <f t="shared" ca="1" si="334"/>
        <v>2243.1347252091591</v>
      </c>
      <c r="L751" s="357">
        <f t="shared" ca="1" si="319"/>
        <v>2560.9716999234834</v>
      </c>
      <c r="M751" s="359">
        <f t="shared" ca="1" si="335"/>
        <v>-1.088643169980275</v>
      </c>
      <c r="N751" s="357">
        <f t="shared" ca="1" si="336"/>
        <v>-62.374659035612837</v>
      </c>
      <c r="O751" s="343"/>
      <c r="P751" s="363">
        <f t="shared" ca="1" si="337"/>
        <v>23</v>
      </c>
      <c r="Q751" s="357">
        <f t="shared" ca="1" si="338"/>
        <v>0</v>
      </c>
      <c r="R751" s="359">
        <f t="shared" ca="1" si="339"/>
        <v>0</v>
      </c>
      <c r="S751" s="360">
        <f t="shared" ca="1" si="340"/>
        <v>10.637999999999975</v>
      </c>
      <c r="T751" s="357">
        <f t="shared" ca="1" si="320"/>
        <v>104.35877999999975</v>
      </c>
      <c r="U751" s="364">
        <f t="shared" ca="1" si="321"/>
        <v>0</v>
      </c>
      <c r="V751" s="359">
        <f t="shared" ca="1" si="322"/>
        <v>0.97792690780072766</v>
      </c>
      <c r="W751" s="357">
        <f t="shared" ca="1" si="323"/>
        <v>13.116222249687251</v>
      </c>
      <c r="X751" s="343"/>
      <c r="Y751" s="367" t="str">
        <f t="shared" ca="1" si="341"/>
        <v/>
      </c>
      <c r="Z751" s="368" t="str">
        <f t="shared" ca="1" si="342"/>
        <v/>
      </c>
      <c r="AA751" s="369" t="str">
        <f t="shared" ca="1" si="343"/>
        <v/>
      </c>
      <c r="AB751" s="344"/>
      <c r="AC751" s="363" t="e">
        <f t="shared" ca="1" si="344"/>
        <v>#N/A</v>
      </c>
      <c r="AD751" s="376" t="e">
        <f t="shared" ca="1" si="345"/>
        <v>#N/A</v>
      </c>
      <c r="AE751" s="377" t="e">
        <f t="shared" ca="1" si="324"/>
        <v>#N/A</v>
      </c>
      <c r="AF751" s="344"/>
      <c r="AG751" s="359">
        <f t="shared" ca="1" si="346"/>
        <v>7.4559656399004126</v>
      </c>
      <c r="AH751" s="357">
        <f t="shared" ca="1" si="347"/>
        <v>-1.2082162122304789</v>
      </c>
    </row>
    <row r="752" spans="1:34" x14ac:dyDescent="0.25">
      <c r="A752" s="402">
        <f t="shared" ca="1" si="325"/>
        <v>0.1</v>
      </c>
      <c r="B752" s="357">
        <f t="shared" ca="1" si="326"/>
        <v>29.800000000000093</v>
      </c>
      <c r="C752" s="342"/>
      <c r="D752" s="359">
        <f t="shared" ca="1" si="327"/>
        <v>-0.57170841439484865</v>
      </c>
      <c r="E752" s="360">
        <f t="shared" ca="1" si="328"/>
        <v>-8.7175997041809836</v>
      </c>
      <c r="F752" s="357">
        <f t="shared" ca="1" si="329"/>
        <v>8.7363261794318472</v>
      </c>
      <c r="G752" s="359">
        <f t="shared" ca="1" si="330"/>
        <v>35.479514539837361</v>
      </c>
      <c r="H752" s="360">
        <f t="shared" ca="1" si="331"/>
        <v>-68.774006369966528</v>
      </c>
      <c r="I752" s="357">
        <f t="shared" ca="1" si="332"/>
        <v>77.386432300234176</v>
      </c>
      <c r="J752" s="359">
        <f t="shared" ca="1" si="333"/>
        <v>1239.2379275018607</v>
      </c>
      <c r="K752" s="360">
        <f t="shared" ca="1" si="334"/>
        <v>2236.3009125706835</v>
      </c>
      <c r="L752" s="357">
        <f t="shared" ca="1" si="319"/>
        <v>2556.7073380665961</v>
      </c>
      <c r="M752" s="359">
        <f t="shared" ca="1" si="335"/>
        <v>-1.0945212092931362</v>
      </c>
      <c r="N752" s="357">
        <f t="shared" ca="1" si="336"/>
        <v>-62.711445880051762</v>
      </c>
      <c r="O752" s="343"/>
      <c r="P752" s="363">
        <f t="shared" ca="1" si="337"/>
        <v>23</v>
      </c>
      <c r="Q752" s="357">
        <f t="shared" ca="1" si="338"/>
        <v>0</v>
      </c>
      <c r="R752" s="359">
        <f t="shared" ca="1" si="339"/>
        <v>0</v>
      </c>
      <c r="S752" s="360">
        <f t="shared" ca="1" si="340"/>
        <v>10.637999999999975</v>
      </c>
      <c r="T752" s="357">
        <f t="shared" ca="1" si="320"/>
        <v>104.35877999999975</v>
      </c>
      <c r="U752" s="364">
        <f t="shared" ca="1" si="321"/>
        <v>0</v>
      </c>
      <c r="V752" s="359">
        <f t="shared" ca="1" si="322"/>
        <v>0.9786039264201174</v>
      </c>
      <c r="W752" s="357">
        <f t="shared" ca="1" si="323"/>
        <v>13.382484432039917</v>
      </c>
      <c r="X752" s="343"/>
      <c r="Y752" s="367" t="str">
        <f t="shared" ca="1" si="341"/>
        <v/>
      </c>
      <c r="Z752" s="368" t="str">
        <f t="shared" ca="1" si="342"/>
        <v/>
      </c>
      <c r="AA752" s="369" t="str">
        <f t="shared" ca="1" si="343"/>
        <v/>
      </c>
      <c r="AB752" s="344"/>
      <c r="AC752" s="363" t="e">
        <f t="shared" ca="1" si="344"/>
        <v>#N/A</v>
      </c>
      <c r="AD752" s="376" t="e">
        <f t="shared" ca="1" si="345"/>
        <v>#N/A</v>
      </c>
      <c r="AE752" s="377" t="e">
        <f t="shared" ca="1" si="324"/>
        <v>#N/A</v>
      </c>
      <c r="AF752" s="344"/>
      <c r="AG752" s="359">
        <f t="shared" ca="1" si="346"/>
        <v>7.4586866993956651</v>
      </c>
      <c r="AH752" s="357">
        <f t="shared" ca="1" si="347"/>
        <v>-1.2329594143342057</v>
      </c>
    </row>
    <row r="753" spans="1:34" x14ac:dyDescent="0.25">
      <c r="A753" s="402">
        <f t="shared" ca="1" si="325"/>
        <v>0.1</v>
      </c>
      <c r="B753" s="357">
        <f t="shared" ca="1" si="326"/>
        <v>29.900000000000095</v>
      </c>
      <c r="C753" s="342"/>
      <c r="D753" s="359">
        <f t="shared" ca="1" si="327"/>
        <v>-0.57675265786578811</v>
      </c>
      <c r="E753" s="360">
        <f t="shared" ca="1" si="328"/>
        <v>-8.6920142699128764</v>
      </c>
      <c r="F753" s="357">
        <f t="shared" ca="1" si="329"/>
        <v>8.7111282677230939</v>
      </c>
      <c r="G753" s="359">
        <f t="shared" ca="1" si="330"/>
        <v>35.421839274050782</v>
      </c>
      <c r="H753" s="360">
        <f t="shared" ca="1" si="331"/>
        <v>-69.64320779695781</v>
      </c>
      <c r="I753" s="357">
        <f t="shared" ca="1" si="332"/>
        <v>78.133751284620473</v>
      </c>
      <c r="J753" s="359">
        <f t="shared" ca="1" si="333"/>
        <v>1242.7829951925551</v>
      </c>
      <c r="K753" s="360">
        <f t="shared" ca="1" si="334"/>
        <v>2229.3800518623375</v>
      </c>
      <c r="L753" s="357">
        <f t="shared" ca="1" si="319"/>
        <v>2552.3802594404888</v>
      </c>
      <c r="M753" s="359">
        <f t="shared" ca="1" si="335"/>
        <v>-1.1002775378413321</v>
      </c>
      <c r="N753" s="357">
        <f t="shared" ca="1" si="336"/>
        <v>-63.041259211354053</v>
      </c>
      <c r="O753" s="343"/>
      <c r="P753" s="363">
        <f t="shared" ca="1" si="337"/>
        <v>23</v>
      </c>
      <c r="Q753" s="357">
        <f t="shared" ca="1" si="338"/>
        <v>0</v>
      </c>
      <c r="R753" s="359">
        <f t="shared" ca="1" si="339"/>
        <v>0</v>
      </c>
      <c r="S753" s="360">
        <f t="shared" ca="1" si="340"/>
        <v>10.637999999999975</v>
      </c>
      <c r="T753" s="357">
        <f t="shared" ca="1" si="320"/>
        <v>104.35877999999975</v>
      </c>
      <c r="U753" s="364">
        <f t="shared" ca="1" si="321"/>
        <v>0</v>
      </c>
      <c r="V753" s="359">
        <f t="shared" ca="1" si="322"/>
        <v>0.97928999304885556</v>
      </c>
      <c r="W753" s="357">
        <f t="shared" ca="1" si="323"/>
        <v>13.651765222484427</v>
      </c>
      <c r="X753" s="343"/>
      <c r="Y753" s="367" t="str">
        <f t="shared" ca="1" si="341"/>
        <v/>
      </c>
      <c r="Z753" s="368" t="str">
        <f t="shared" ca="1" si="342"/>
        <v/>
      </c>
      <c r="AA753" s="369" t="str">
        <f t="shared" ca="1" si="343"/>
        <v/>
      </c>
      <c r="AB753" s="344"/>
      <c r="AC753" s="363" t="e">
        <f t="shared" ca="1" si="344"/>
        <v>#N/A</v>
      </c>
      <c r="AD753" s="376" t="e">
        <f t="shared" ca="1" si="345"/>
        <v>#N/A</v>
      </c>
      <c r="AE753" s="377" t="e">
        <f t="shared" ca="1" si="324"/>
        <v>#N/A</v>
      </c>
      <c r="AF753" s="344"/>
      <c r="AG753" s="359">
        <f t="shared" ca="1" si="346"/>
        <v>7.4602449459921933</v>
      </c>
      <c r="AH753" s="357">
        <f t="shared" ca="1" si="347"/>
        <v>-1.2579887602970434</v>
      </c>
    </row>
    <row r="754" spans="1:34" x14ac:dyDescent="0.25">
      <c r="A754" s="402">
        <f t="shared" ca="1" si="325"/>
        <v>0.1</v>
      </c>
      <c r="B754" s="357">
        <f t="shared" ca="1" si="326"/>
        <v>30.000000000000096</v>
      </c>
      <c r="C754" s="342"/>
      <c r="D754" s="359">
        <f t="shared" ca="1" si="327"/>
        <v>-0.58178330870922534</v>
      </c>
      <c r="E754" s="360">
        <f t="shared" ca="1" si="328"/>
        <v>-8.6661504232525779</v>
      </c>
      <c r="F754" s="357">
        <f t="shared" ca="1" si="329"/>
        <v>8.685656853498962</v>
      </c>
      <c r="G754" s="359">
        <f t="shared" ca="1" si="330"/>
        <v>35.363660943179859</v>
      </c>
      <c r="H754" s="360">
        <f t="shared" ca="1" si="331"/>
        <v>-70.509822839283075</v>
      </c>
      <c r="I754" s="357">
        <f t="shared" ca="1" si="332"/>
        <v>78.881072711590761</v>
      </c>
      <c r="J754" s="359">
        <f t="shared" ca="1" si="333"/>
        <v>1246.3222702034166</v>
      </c>
      <c r="K754" s="360">
        <f t="shared" ca="1" si="334"/>
        <v>2222.3724003305256</v>
      </c>
      <c r="L754" s="357">
        <f t="shared" ca="1" si="319"/>
        <v>2547.9910296066314</v>
      </c>
      <c r="M754" s="359">
        <f t="shared" ca="1" si="335"/>
        <v>-1.1059156139306732</v>
      </c>
      <c r="N754" s="357">
        <f t="shared" ca="1" si="336"/>
        <v>-63.364297175846922</v>
      </c>
      <c r="O754" s="343"/>
      <c r="P754" s="363">
        <f t="shared" ca="1" si="337"/>
        <v>23</v>
      </c>
      <c r="Q754" s="357">
        <f t="shared" ca="1" si="338"/>
        <v>0</v>
      </c>
      <c r="R754" s="359">
        <f t="shared" ca="1" si="339"/>
        <v>0</v>
      </c>
      <c r="S754" s="360">
        <f t="shared" ca="1" si="340"/>
        <v>10.637999999999975</v>
      </c>
      <c r="T754" s="357">
        <f t="shared" ca="1" si="320"/>
        <v>104.35877999999975</v>
      </c>
      <c r="U754" s="364">
        <f t="shared" ca="1" si="321"/>
        <v>0</v>
      </c>
      <c r="V754" s="359">
        <f t="shared" ca="1" si="322"/>
        <v>0.97998509867790717</v>
      </c>
      <c r="W754" s="357">
        <f t="shared" ca="1" si="323"/>
        <v>13.924038988471048</v>
      </c>
      <c r="X754" s="343"/>
      <c r="Y754" s="367" t="str">
        <f t="shared" ca="1" si="341"/>
        <v/>
      </c>
      <c r="Z754" s="368" t="str">
        <f t="shared" ca="1" si="342"/>
        <v/>
      </c>
      <c r="AA754" s="369" t="str">
        <f t="shared" ca="1" si="343"/>
        <v/>
      </c>
      <c r="AB754" s="344"/>
      <c r="AC754" s="363">
        <f t="shared" ca="1" si="344"/>
        <v>30.000000000000096</v>
      </c>
      <c r="AD754" s="376">
        <f t="shared" ca="1" si="345"/>
        <v>1246.3222702034166</v>
      </c>
      <c r="AE754" s="377" t="e">
        <f t="shared" ca="1" si="324"/>
        <v>#N/A</v>
      </c>
      <c r="AF754" s="344"/>
      <c r="AG754" s="359">
        <f t="shared" ca="1" si="346"/>
        <v>7.4606769838733076</v>
      </c>
      <c r="AH754" s="357">
        <f t="shared" ca="1" si="347"/>
        <v>-1.2833018633657134</v>
      </c>
    </row>
    <row r="755" spans="1:34" x14ac:dyDescent="0.25">
      <c r="A755" s="402">
        <f t="shared" ca="1" si="325"/>
        <v>0.1</v>
      </c>
      <c r="B755" s="357">
        <f t="shared" ca="1" si="326"/>
        <v>30.100000000000097</v>
      </c>
      <c r="C755" s="342"/>
      <c r="D755" s="359">
        <f t="shared" ca="1" si="327"/>
        <v>-0.58679939137966086</v>
      </c>
      <c r="E755" s="360">
        <f t="shared" ca="1" si="328"/>
        <v>-8.6400102414493229</v>
      </c>
      <c r="F755" s="357">
        <f t="shared" ca="1" si="329"/>
        <v>8.6599140006164461</v>
      </c>
      <c r="G755" s="359">
        <f t="shared" ca="1" si="330"/>
        <v>35.304981004041892</v>
      </c>
      <c r="H755" s="360">
        <f t="shared" ca="1" si="331"/>
        <v>-71.373823863428001</v>
      </c>
      <c r="I755" s="357">
        <f t="shared" ca="1" si="332"/>
        <v>79.628289047193547</v>
      </c>
      <c r="J755" s="359">
        <f t="shared" ca="1" si="333"/>
        <v>1249.8557023007777</v>
      </c>
      <c r="K755" s="360">
        <f t="shared" ca="1" si="334"/>
        <v>2215.2782179953902</v>
      </c>
      <c r="L755" s="357">
        <f t="shared" ca="1" si="319"/>
        <v>2543.5402217575802</v>
      </c>
      <c r="M755" s="359">
        <f t="shared" ca="1" si="335"/>
        <v>-1.1114387817744984</v>
      </c>
      <c r="N755" s="357">
        <f t="shared" ca="1" si="336"/>
        <v>-63.680751382840477</v>
      </c>
      <c r="O755" s="343"/>
      <c r="P755" s="363">
        <f t="shared" ca="1" si="337"/>
        <v>23</v>
      </c>
      <c r="Q755" s="357">
        <f t="shared" ca="1" si="338"/>
        <v>0</v>
      </c>
      <c r="R755" s="359">
        <f t="shared" ca="1" si="339"/>
        <v>0</v>
      </c>
      <c r="S755" s="360">
        <f t="shared" ca="1" si="340"/>
        <v>10.637999999999975</v>
      </c>
      <c r="T755" s="357">
        <f t="shared" ca="1" si="320"/>
        <v>104.35877999999975</v>
      </c>
      <c r="U755" s="364">
        <f t="shared" ca="1" si="321"/>
        <v>0</v>
      </c>
      <c r="V755" s="359">
        <f t="shared" ca="1" si="322"/>
        <v>0.98068923419143872</v>
      </c>
      <c r="W755" s="357">
        <f t="shared" ca="1" si="323"/>
        <v>14.199279858253577</v>
      </c>
      <c r="X755" s="343"/>
      <c r="Y755" s="367" t="str">
        <f t="shared" ca="1" si="341"/>
        <v/>
      </c>
      <c r="Z755" s="368" t="str">
        <f t="shared" ca="1" si="342"/>
        <v/>
      </c>
      <c r="AA755" s="369" t="str">
        <f t="shared" ca="1" si="343"/>
        <v/>
      </c>
      <c r="AB755" s="344"/>
      <c r="AC755" s="363" t="e">
        <f t="shared" ca="1" si="344"/>
        <v>#N/A</v>
      </c>
      <c r="AD755" s="376" t="e">
        <f t="shared" ca="1" si="345"/>
        <v>#N/A</v>
      </c>
      <c r="AE755" s="377" t="e">
        <f t="shared" ca="1" si="324"/>
        <v>#N/A</v>
      </c>
      <c r="AF755" s="344"/>
      <c r="AG755" s="359">
        <f t="shared" ca="1" si="346"/>
        <v>7.4600179296154678</v>
      </c>
      <c r="AH755" s="357">
        <f t="shared" ca="1" si="347"/>
        <v>-1.308896314013074</v>
      </c>
    </row>
    <row r="756" spans="1:34" x14ac:dyDescent="0.25">
      <c r="A756" s="402">
        <f t="shared" ca="1" si="325"/>
        <v>0.1</v>
      </c>
      <c r="B756" s="357">
        <f t="shared" ca="1" si="326"/>
        <v>30.200000000000099</v>
      </c>
      <c r="C756" s="342"/>
      <c r="D756" s="359">
        <f t="shared" ca="1" si="327"/>
        <v>-0.59179995914833905</v>
      </c>
      <c r="E756" s="360">
        <f t="shared" ca="1" si="328"/>
        <v>-8.6135958426998815</v>
      </c>
      <c r="F756" s="357">
        <f t="shared" ca="1" si="329"/>
        <v>8.6339018139555339</v>
      </c>
      <c r="G756" s="359">
        <f t="shared" ca="1" si="330"/>
        <v>35.24580100812706</v>
      </c>
      <c r="H756" s="360">
        <f t="shared" ca="1" si="331"/>
        <v>-72.235183447697992</v>
      </c>
      <c r="I756" s="357">
        <f t="shared" ca="1" si="332"/>
        <v>80.375296058099039</v>
      </c>
      <c r="J756" s="359">
        <f t="shared" ca="1" si="333"/>
        <v>1253.3832414013862</v>
      </c>
      <c r="K756" s="360">
        <f t="shared" ca="1" si="334"/>
        <v>2208.0977676298339</v>
      </c>
      <c r="L756" s="357">
        <f t="shared" ca="1" si="319"/>
        <v>2539.0284167842042</v>
      </c>
      <c r="M756" s="359">
        <f t="shared" ca="1" si="335"/>
        <v>-1.1168502752518981</v>
      </c>
      <c r="N756" s="357">
        <f t="shared" ca="1" si="336"/>
        <v>-63.990807119958056</v>
      </c>
      <c r="O756" s="343"/>
      <c r="P756" s="363">
        <f t="shared" ca="1" si="337"/>
        <v>23</v>
      </c>
      <c r="Q756" s="357">
        <f t="shared" ca="1" si="338"/>
        <v>0</v>
      </c>
      <c r="R756" s="359">
        <f t="shared" ca="1" si="339"/>
        <v>0</v>
      </c>
      <c r="S756" s="360">
        <f t="shared" ca="1" si="340"/>
        <v>10.637999999999975</v>
      </c>
      <c r="T756" s="357">
        <f t="shared" ca="1" si="320"/>
        <v>104.35877999999975</v>
      </c>
      <c r="U756" s="364">
        <f t="shared" ca="1" si="321"/>
        <v>0</v>
      </c>
      <c r="V756" s="359">
        <f t="shared" ca="1" si="322"/>
        <v>0.98140239036688737</v>
      </c>
      <c r="W756" s="357">
        <f t="shared" ca="1" si="323"/>
        <v>14.477461724032262</v>
      </c>
      <c r="X756" s="343"/>
      <c r="Y756" s="367" t="str">
        <f t="shared" ca="1" si="341"/>
        <v/>
      </c>
      <c r="Z756" s="368" t="str">
        <f t="shared" ca="1" si="342"/>
        <v/>
      </c>
      <c r="AA756" s="369" t="str">
        <f t="shared" ca="1" si="343"/>
        <v/>
      </c>
      <c r="AB756" s="344"/>
      <c r="AC756" s="363" t="e">
        <f t="shared" ca="1" si="344"/>
        <v>#N/A</v>
      </c>
      <c r="AD756" s="376" t="e">
        <f t="shared" ca="1" si="345"/>
        <v>#N/A</v>
      </c>
      <c r="AE756" s="377" t="e">
        <f t="shared" ca="1" si="324"/>
        <v>#N/A</v>
      </c>
      <c r="AF756" s="344"/>
      <c r="AG756" s="359">
        <f t="shared" ca="1" si="346"/>
        <v>7.4583014817724944</v>
      </c>
      <c r="AH756" s="357">
        <f t="shared" ca="1" si="347"/>
        <v>-1.3347696802268858</v>
      </c>
    </row>
    <row r="757" spans="1:34" x14ac:dyDescent="0.25">
      <c r="A757" s="402">
        <f t="shared" ca="1" si="325"/>
        <v>0.1</v>
      </c>
      <c r="B757" s="357">
        <f t="shared" ca="1" si="326"/>
        <v>30.3000000000001</v>
      </c>
      <c r="C757" s="342"/>
      <c r="D757" s="359">
        <f t="shared" ca="1" si="327"/>
        <v>-0.59678409303164026</v>
      </c>
      <c r="E757" s="360">
        <f t="shared" ca="1" si="328"/>
        <v>-8.5869093847840645</v>
      </c>
      <c r="F757" s="357">
        <f t="shared" ca="1" si="329"/>
        <v>8.6076224380596678</v>
      </c>
      <c r="G757" s="359">
        <f t="shared" ca="1" si="330"/>
        <v>35.186122598823893</v>
      </c>
      <c r="H757" s="360">
        <f t="shared" ca="1" si="331"/>
        <v>-73.093874386176395</v>
      </c>
      <c r="I757" s="357">
        <f t="shared" ca="1" si="332"/>
        <v>81.121992679677177</v>
      </c>
      <c r="J757" s="359">
        <f t="shared" ca="1" si="333"/>
        <v>1256.9048375817338</v>
      </c>
      <c r="K757" s="360">
        <f t="shared" ca="1" si="334"/>
        <v>2200.83131473814</v>
      </c>
      <c r="L757" s="357">
        <f t="shared" ca="1" si="319"/>
        <v>2534.4562033438997</v>
      </c>
      <c r="M757" s="359">
        <f t="shared" ca="1" si="335"/>
        <v>-1.1221532215856518</v>
      </c>
      <c r="N757" s="357">
        <f t="shared" ca="1" si="336"/>
        <v>-64.294643563866515</v>
      </c>
      <c r="O757" s="343"/>
      <c r="P757" s="363">
        <f t="shared" ca="1" si="337"/>
        <v>23</v>
      </c>
      <c r="Q757" s="357">
        <f t="shared" ca="1" si="338"/>
        <v>0</v>
      </c>
      <c r="R757" s="359">
        <f t="shared" ca="1" si="339"/>
        <v>0</v>
      </c>
      <c r="S757" s="360">
        <f t="shared" ca="1" si="340"/>
        <v>10.637999999999975</v>
      </c>
      <c r="T757" s="357">
        <f t="shared" ca="1" si="320"/>
        <v>104.35877999999975</v>
      </c>
      <c r="U757" s="364">
        <f t="shared" ca="1" si="321"/>
        <v>0</v>
      </c>
      <c r="V757" s="359">
        <f t="shared" ca="1" si="322"/>
        <v>0.98212455787505071</v>
      </c>
      <c r="W757" s="357">
        <f t="shared" ca="1" si="323"/>
        <v>14.758558245165437</v>
      </c>
      <c r="X757" s="343"/>
      <c r="Y757" s="367" t="str">
        <f t="shared" ca="1" si="341"/>
        <v/>
      </c>
      <c r="Z757" s="368" t="str">
        <f t="shared" ca="1" si="342"/>
        <v/>
      </c>
      <c r="AA757" s="369" t="str">
        <f t="shared" ca="1" si="343"/>
        <v/>
      </c>
      <c r="AB757" s="344"/>
      <c r="AC757" s="363" t="e">
        <f t="shared" ca="1" si="344"/>
        <v>#N/A</v>
      </c>
      <c r="AD757" s="376" t="e">
        <f t="shared" ca="1" si="345"/>
        <v>#N/A</v>
      </c>
      <c r="AE757" s="377" t="e">
        <f t="shared" ca="1" si="324"/>
        <v>#N/A</v>
      </c>
      <c r="AF757" s="344"/>
      <c r="AG757" s="359">
        <f t="shared" ca="1" si="346"/>
        <v>7.4555599874576721</v>
      </c>
      <c r="AH757" s="357">
        <f t="shared" ca="1" si="347"/>
        <v>-1.3609195078052543</v>
      </c>
    </row>
    <row r="758" spans="1:34" x14ac:dyDescent="0.25">
      <c r="A758" s="402">
        <f t="shared" ca="1" si="325"/>
        <v>0.1</v>
      </c>
      <c r="B758" s="357">
        <f t="shared" ca="1" si="326"/>
        <v>30.400000000000102</v>
      </c>
      <c r="C758" s="342"/>
      <c r="D758" s="359">
        <f t="shared" ca="1" si="327"/>
        <v>-0.60175090077120197</v>
      </c>
      <c r="E758" s="360">
        <f t="shared" ca="1" si="328"/>
        <v>-8.5599530637624479</v>
      </c>
      <c r="F758" s="357">
        <f t="shared" ca="1" si="329"/>
        <v>8.581078055838617</v>
      </c>
      <c r="G758" s="359">
        <f t="shared" ca="1" si="330"/>
        <v>35.125947508746769</v>
      </c>
      <c r="H758" s="360">
        <f t="shared" ca="1" si="331"/>
        <v>-73.949869692552639</v>
      </c>
      <c r="I758" s="357">
        <f t="shared" ca="1" si="332"/>
        <v>81.868280890298095</v>
      </c>
      <c r="J758" s="359">
        <f t="shared" ca="1" si="333"/>
        <v>1260.4204410871123</v>
      </c>
      <c r="K758" s="360">
        <f t="shared" ca="1" si="334"/>
        <v>2193.4791275342036</v>
      </c>
      <c r="L758" s="357">
        <f t="shared" ca="1" si="319"/>
        <v>2529.8241779298501</v>
      </c>
      <c r="M758" s="359">
        <f t="shared" ca="1" si="335"/>
        <v>-1.1273506449349424</v>
      </c>
      <c r="N758" s="357">
        <f t="shared" ca="1" si="336"/>
        <v>-64.592433986123623</v>
      </c>
      <c r="O758" s="343"/>
      <c r="P758" s="363">
        <f t="shared" ca="1" si="337"/>
        <v>23</v>
      </c>
      <c r="Q758" s="357">
        <f t="shared" ca="1" si="338"/>
        <v>0</v>
      </c>
      <c r="R758" s="359">
        <f t="shared" ca="1" si="339"/>
        <v>0</v>
      </c>
      <c r="S758" s="360">
        <f t="shared" ca="1" si="340"/>
        <v>10.637999999999975</v>
      </c>
      <c r="T758" s="357">
        <f t="shared" ca="1" si="320"/>
        <v>104.35877999999975</v>
      </c>
      <c r="U758" s="364">
        <f t="shared" ca="1" si="321"/>
        <v>0</v>
      </c>
      <c r="V758" s="359">
        <f t="shared" ca="1" si="322"/>
        <v>0.98285572728020154</v>
      </c>
      <c r="W758" s="357">
        <f t="shared" ca="1" si="323"/>
        <v>15.042542851447616</v>
      </c>
      <c r="X758" s="343"/>
      <c r="Y758" s="367" t="str">
        <f t="shared" ca="1" si="341"/>
        <v/>
      </c>
      <c r="Z758" s="368" t="str">
        <f t="shared" ca="1" si="342"/>
        <v/>
      </c>
      <c r="AA758" s="369" t="str">
        <f t="shared" ca="1" si="343"/>
        <v/>
      </c>
      <c r="AB758" s="344"/>
      <c r="AC758" s="363" t="e">
        <f t="shared" ca="1" si="344"/>
        <v>#N/A</v>
      </c>
      <c r="AD758" s="376" t="e">
        <f t="shared" ca="1" si="345"/>
        <v>#N/A</v>
      </c>
      <c r="AE758" s="377" t="e">
        <f t="shared" ca="1" si="324"/>
        <v>#N/A</v>
      </c>
      <c r="AF758" s="344"/>
      <c r="AG758" s="359">
        <f t="shared" ca="1" si="346"/>
        <v>7.4518245059970267</v>
      </c>
      <c r="AH758" s="357">
        <f t="shared" ca="1" si="347"/>
        <v>-1.3873433206585328</v>
      </c>
    </row>
    <row r="759" spans="1:34" x14ac:dyDescent="0.25">
      <c r="A759" s="402">
        <f t="shared" ca="1" si="325"/>
        <v>0.1</v>
      </c>
      <c r="B759" s="357">
        <f t="shared" ca="1" si="326"/>
        <v>30.500000000000103</v>
      </c>
      <c r="C759" s="342"/>
      <c r="D759" s="359">
        <f t="shared" ca="1" si="327"/>
        <v>-0.60669951586340276</v>
      </c>
      <c r="E759" s="360">
        <f t="shared" ca="1" si="328"/>
        <v>-8.5327291127317952</v>
      </c>
      <c r="F759" s="357">
        <f t="shared" ca="1" si="329"/>
        <v>8.5542708873293005</v>
      </c>
      <c r="G759" s="359">
        <f t="shared" ca="1" si="330"/>
        <v>35.065277557160428</v>
      </c>
      <c r="H759" s="360">
        <f t="shared" ca="1" si="331"/>
        <v>-74.803142603825819</v>
      </c>
      <c r="I759" s="357">
        <f t="shared" ca="1" si="332"/>
        <v>82.614065591574658</v>
      </c>
      <c r="J759" s="359">
        <f t="shared" ca="1" si="333"/>
        <v>1263.9300023404076</v>
      </c>
      <c r="K759" s="360">
        <f t="shared" ca="1" si="334"/>
        <v>2186.0414769193849</v>
      </c>
      <c r="L759" s="357">
        <f t="shared" ca="1" si="319"/>
        <v>2525.132944941337</v>
      </c>
      <c r="M759" s="359">
        <f t="shared" ca="1" si="335"/>
        <v>-1.1324454698990267</v>
      </c>
      <c r="N759" s="357">
        <f t="shared" ca="1" si="336"/>
        <v>-64.884345953923543</v>
      </c>
      <c r="O759" s="343"/>
      <c r="P759" s="363">
        <f t="shared" ca="1" si="337"/>
        <v>23</v>
      </c>
      <c r="Q759" s="357">
        <f t="shared" ca="1" si="338"/>
        <v>0</v>
      </c>
      <c r="R759" s="359">
        <f t="shared" ca="1" si="339"/>
        <v>0</v>
      </c>
      <c r="S759" s="360">
        <f t="shared" ca="1" si="340"/>
        <v>10.637999999999975</v>
      </c>
      <c r="T759" s="357">
        <f t="shared" ca="1" si="320"/>
        <v>104.35877999999975</v>
      </c>
      <c r="U759" s="364">
        <f t="shared" ca="1" si="321"/>
        <v>0</v>
      </c>
      <c r="V759" s="359">
        <f t="shared" ca="1" si="322"/>
        <v>0.98359588904022166</v>
      </c>
      <c r="W759" s="357">
        <f t="shared" ca="1" si="323"/>
        <v>15.329388746451801</v>
      </c>
      <c r="X759" s="343"/>
      <c r="Y759" s="367" t="str">
        <f t="shared" ca="1" si="341"/>
        <v/>
      </c>
      <c r="Z759" s="368" t="str">
        <f t="shared" ca="1" si="342"/>
        <v/>
      </c>
      <c r="AA759" s="369" t="str">
        <f t="shared" ca="1" si="343"/>
        <v/>
      </c>
      <c r="AB759" s="344"/>
      <c r="AC759" s="363" t="e">
        <f t="shared" ca="1" si="344"/>
        <v>#N/A</v>
      </c>
      <c r="AD759" s="376" t="e">
        <f t="shared" ca="1" si="345"/>
        <v>#N/A</v>
      </c>
      <c r="AE759" s="377" t="e">
        <f t="shared" ca="1" si="324"/>
        <v>#N/A</v>
      </c>
      <c r="AF759" s="344"/>
      <c r="AG759" s="359">
        <f t="shared" ca="1" si="346"/>
        <v>7.4471248697347185</v>
      </c>
      <c r="AH759" s="357">
        <f t="shared" ca="1" si="347"/>
        <v>-1.4140386211174705</v>
      </c>
    </row>
    <row r="760" spans="1:34" x14ac:dyDescent="0.25">
      <c r="A760" s="402">
        <f t="shared" ca="1" si="325"/>
        <v>0.1</v>
      </c>
      <c r="B760" s="357">
        <f t="shared" ca="1" si="326"/>
        <v>30.600000000000104</v>
      </c>
      <c r="C760" s="342"/>
      <c r="D760" s="359">
        <f t="shared" ca="1" si="327"/>
        <v>-0.61162909663592002</v>
      </c>
      <c r="E760" s="360">
        <f t="shared" ca="1" si="328"/>
        <v>-8.5052398006339693</v>
      </c>
      <c r="F760" s="357">
        <f t="shared" ca="1" si="329"/>
        <v>8.5272031885102777</v>
      </c>
      <c r="G760" s="359">
        <f t="shared" ca="1" si="330"/>
        <v>35.004114647496834</v>
      </c>
      <c r="H760" s="360">
        <f t="shared" ca="1" si="331"/>
        <v>-75.653666583889219</v>
      </c>
      <c r="I760" s="357">
        <f t="shared" ca="1" si="332"/>
        <v>83.359254494275433</v>
      </c>
      <c r="J760" s="359">
        <f t="shared" ca="1" si="333"/>
        <v>1267.4334719506405</v>
      </c>
      <c r="K760" s="360">
        <f t="shared" ca="1" si="334"/>
        <v>2178.518636459999</v>
      </c>
      <c r="L760" s="357">
        <f t="shared" ca="1" si="319"/>
        <v>2520.3831167551471</v>
      </c>
      <c r="M760" s="359">
        <f t="shared" ca="1" si="335"/>
        <v>-1.1374405249290394</v>
      </c>
      <c r="N760" s="357">
        <f t="shared" ca="1" si="336"/>
        <v>-65.170541525578855</v>
      </c>
      <c r="O760" s="343"/>
      <c r="P760" s="363">
        <f t="shared" ca="1" si="337"/>
        <v>23</v>
      </c>
      <c r="Q760" s="357">
        <f t="shared" ca="1" si="338"/>
        <v>0</v>
      </c>
      <c r="R760" s="359">
        <f t="shared" ca="1" si="339"/>
        <v>0</v>
      </c>
      <c r="S760" s="360">
        <f t="shared" ca="1" si="340"/>
        <v>10.637999999999975</v>
      </c>
      <c r="T760" s="357">
        <f t="shared" ca="1" si="320"/>
        <v>104.35877999999975</v>
      </c>
      <c r="U760" s="364">
        <f t="shared" ca="1" si="321"/>
        <v>0</v>
      </c>
      <c r="V760" s="359">
        <f t="shared" ca="1" si="322"/>
        <v>0.9843450335067595</v>
      </c>
      <c r="W760" s="357">
        <f t="shared" ca="1" si="323"/>
        <v>15.619068910934113</v>
      </c>
      <c r="X760" s="343"/>
      <c r="Y760" s="367" t="str">
        <f t="shared" ca="1" si="341"/>
        <v/>
      </c>
      <c r="Z760" s="368" t="str">
        <f t="shared" ca="1" si="342"/>
        <v/>
      </c>
      <c r="AA760" s="369" t="str">
        <f t="shared" ca="1" si="343"/>
        <v/>
      </c>
      <c r="AB760" s="344"/>
      <c r="AC760" s="363" t="e">
        <f t="shared" ca="1" si="344"/>
        <v>#N/A</v>
      </c>
      <c r="AD760" s="376" t="e">
        <f t="shared" ca="1" si="345"/>
        <v>#N/A</v>
      </c>
      <c r="AE760" s="377" t="e">
        <f t="shared" ca="1" si="324"/>
        <v>#N/A</v>
      </c>
      <c r="AF760" s="344"/>
      <c r="AG760" s="359">
        <f t="shared" ca="1" si="346"/>
        <v>7.4414897420770574</v>
      </c>
      <c r="AH760" s="357">
        <f t="shared" ca="1" si="347"/>
        <v>-1.4410028902473997</v>
      </c>
    </row>
    <row r="761" spans="1:34" x14ac:dyDescent="0.25">
      <c r="A761" s="402">
        <f t="shared" ca="1" si="325"/>
        <v>0.1</v>
      </c>
      <c r="B761" s="357">
        <f t="shared" ca="1" si="326"/>
        <v>30.700000000000106</v>
      </c>
      <c r="C761" s="342"/>
      <c r="D761" s="359">
        <f t="shared" ca="1" si="327"/>
        <v>-0.61653882536914373</v>
      </c>
      <c r="E761" s="360">
        <f t="shared" ca="1" si="328"/>
        <v>-8.4774874311144632</v>
      </c>
      <c r="F761" s="357">
        <f t="shared" ca="1" si="329"/>
        <v>8.4998772501661026</v>
      </c>
      <c r="G761" s="359">
        <f t="shared" ca="1" si="330"/>
        <v>34.942460764959918</v>
      </c>
      <c r="H761" s="360">
        <f t="shared" ca="1" si="331"/>
        <v>-76.501415327000672</v>
      </c>
      <c r="I761" s="357">
        <f t="shared" ca="1" si="332"/>
        <v>84.103758009645546</v>
      </c>
      <c r="J761" s="359">
        <f t="shared" ca="1" si="333"/>
        <v>1270.9308007212633</v>
      </c>
      <c r="K761" s="360">
        <f t="shared" ca="1" si="334"/>
        <v>2170.9108823644547</v>
      </c>
      <c r="L761" s="357">
        <f t="shared" ca="1" si="319"/>
        <v>2515.5753137980996</v>
      </c>
      <c r="M761" s="359">
        <f t="shared" ca="1" si="335"/>
        <v>-1.1423385456459452</v>
      </c>
      <c r="N761" s="357">
        <f t="shared" ca="1" si="336"/>
        <v>-65.451177440625202</v>
      </c>
      <c r="O761" s="343"/>
      <c r="P761" s="363">
        <f t="shared" ca="1" si="337"/>
        <v>23</v>
      </c>
      <c r="Q761" s="357">
        <f t="shared" ca="1" si="338"/>
        <v>0</v>
      </c>
      <c r="R761" s="359">
        <f t="shared" ca="1" si="339"/>
        <v>0</v>
      </c>
      <c r="S761" s="360">
        <f t="shared" ca="1" si="340"/>
        <v>10.637999999999975</v>
      </c>
      <c r="T761" s="357">
        <f t="shared" ca="1" si="320"/>
        <v>104.35877999999975</v>
      </c>
      <c r="U761" s="364">
        <f t="shared" ca="1" si="321"/>
        <v>0</v>
      </c>
      <c r="V761" s="359">
        <f t="shared" ca="1" si="322"/>
        <v>0.98510315092540335</v>
      </c>
      <c r="W761" s="357">
        <f t="shared" ca="1" si="323"/>
        <v>15.911556106298505</v>
      </c>
      <c r="X761" s="343"/>
      <c r="Y761" s="367" t="str">
        <f t="shared" ca="1" si="341"/>
        <v/>
      </c>
      <c r="Z761" s="368" t="str">
        <f t="shared" ca="1" si="342"/>
        <v/>
      </c>
      <c r="AA761" s="369" t="str">
        <f t="shared" ca="1" si="343"/>
        <v/>
      </c>
      <c r="AB761" s="344"/>
      <c r="AC761" s="363" t="e">
        <f t="shared" ca="1" si="344"/>
        <v>#N/A</v>
      </c>
      <c r="AD761" s="376" t="e">
        <f t="shared" ca="1" si="345"/>
        <v>#N/A</v>
      </c>
      <c r="AE761" s="377" t="e">
        <f t="shared" ca="1" si="324"/>
        <v>#N/A</v>
      </c>
      <c r="AF761" s="344"/>
      <c r="AG761" s="359">
        <f t="shared" ca="1" si="346"/>
        <v>7.4349466728658467</v>
      </c>
      <c r="AH761" s="357">
        <f t="shared" ca="1" si="347"/>
        <v>-1.4682335881682786</v>
      </c>
    </row>
    <row r="762" spans="1:34" x14ac:dyDescent="0.25">
      <c r="A762" s="402">
        <f t="shared" ca="1" si="325"/>
        <v>0.1</v>
      </c>
      <c r="B762" s="357">
        <f t="shared" ca="1" si="326"/>
        <v>30.800000000000107</v>
      </c>
      <c r="C762" s="342"/>
      <c r="D762" s="359">
        <f t="shared" ca="1" si="327"/>
        <v>-0.62142790746031262</v>
      </c>
      <c r="E762" s="360">
        <f t="shared" ca="1" si="328"/>
        <v>-8.4494743414269422</v>
      </c>
      <c r="F762" s="357">
        <f t="shared" ca="1" si="329"/>
        <v>8.4722953967978931</v>
      </c>
      <c r="G762" s="359">
        <f t="shared" ca="1" si="330"/>
        <v>34.880317974213888</v>
      </c>
      <c r="H762" s="360">
        <f t="shared" ca="1" si="331"/>
        <v>-77.346362761143368</v>
      </c>
      <c r="I762" s="357">
        <f t="shared" ca="1" si="332"/>
        <v>84.847489145882534</v>
      </c>
      <c r="J762" s="359">
        <f t="shared" ca="1" si="333"/>
        <v>1274.4219396582218</v>
      </c>
      <c r="K762" s="360">
        <f t="shared" ca="1" si="334"/>
        <v>2163.2184934600473</v>
      </c>
      <c r="L762" s="357">
        <f t="shared" ca="1" si="319"/>
        <v>2510.7101646207157</v>
      </c>
      <c r="M762" s="359">
        <f t="shared" ca="1" si="335"/>
        <v>-1.1471421780634024</v>
      </c>
      <c r="N762" s="357">
        <f t="shared" ca="1" si="336"/>
        <v>-65.726405304477723</v>
      </c>
      <c r="O762" s="343"/>
      <c r="P762" s="363">
        <f t="shared" ca="1" si="337"/>
        <v>23</v>
      </c>
      <c r="Q762" s="357">
        <f t="shared" ca="1" si="338"/>
        <v>0</v>
      </c>
      <c r="R762" s="359">
        <f t="shared" ca="1" si="339"/>
        <v>0</v>
      </c>
      <c r="S762" s="360">
        <f t="shared" ca="1" si="340"/>
        <v>10.637999999999975</v>
      </c>
      <c r="T762" s="357">
        <f t="shared" ca="1" si="320"/>
        <v>104.35877999999975</v>
      </c>
      <c r="U762" s="364">
        <f t="shared" ca="1" si="321"/>
        <v>0</v>
      </c>
      <c r="V762" s="359">
        <f t="shared" ca="1" si="322"/>
        <v>0.98587023143588037</v>
      </c>
      <c r="W762" s="357">
        <f t="shared" ca="1" si="323"/>
        <v>16.206822878119947</v>
      </c>
      <c r="X762" s="343"/>
      <c r="Y762" s="367" t="str">
        <f t="shared" ca="1" si="341"/>
        <v/>
      </c>
      <c r="Z762" s="368" t="str">
        <f t="shared" ca="1" si="342"/>
        <v/>
      </c>
      <c r="AA762" s="369" t="str">
        <f t="shared" ca="1" si="343"/>
        <v/>
      </c>
      <c r="AB762" s="344"/>
      <c r="AC762" s="363" t="e">
        <f t="shared" ca="1" si="344"/>
        <v>#N/A</v>
      </c>
      <c r="AD762" s="376" t="e">
        <f t="shared" ca="1" si="345"/>
        <v>#N/A</v>
      </c>
      <c r="AE762" s="377" t="e">
        <f t="shared" ca="1" si="324"/>
        <v>#N/A</v>
      </c>
      <c r="AF762" s="344"/>
      <c r="AG762" s="359">
        <f t="shared" ca="1" si="346"/>
        <v>7.4275221511744167</v>
      </c>
      <c r="AH762" s="357">
        <f t="shared" ca="1" si="347"/>
        <v>-1.4957281543803858</v>
      </c>
    </row>
    <row r="763" spans="1:34" x14ac:dyDescent="0.25">
      <c r="A763" s="402">
        <f t="shared" ca="1" si="325"/>
        <v>0.1</v>
      </c>
      <c r="B763" s="357">
        <f t="shared" ca="1" si="326"/>
        <v>30.900000000000109</v>
      </c>
      <c r="C763" s="342"/>
      <c r="D763" s="359">
        <f t="shared" ca="1" si="327"/>
        <v>-0.62629557062832453</v>
      </c>
      <c r="E763" s="360">
        <f t="shared" ca="1" si="328"/>
        <v>-8.4212029013804486</v>
      </c>
      <c r="F763" s="357">
        <f t="shared" ca="1" si="329"/>
        <v>8.4444599855767652</v>
      </c>
      <c r="G763" s="359">
        <f t="shared" ca="1" si="330"/>
        <v>34.817688417151054</v>
      </c>
      <c r="H763" s="360">
        <f t="shared" ca="1" si="331"/>
        <v>-78.188483051281409</v>
      </c>
      <c r="I763" s="357">
        <f t="shared" ca="1" si="332"/>
        <v>85.590363409523704</v>
      </c>
      <c r="J763" s="359">
        <f t="shared" ca="1" si="333"/>
        <v>1277.90683997779</v>
      </c>
      <c r="K763" s="360">
        <f t="shared" ca="1" si="334"/>
        <v>2155.441751169426</v>
      </c>
      <c r="L763" s="357">
        <f t="shared" ca="1" si="319"/>
        <v>2505.7883059720634</v>
      </c>
      <c r="M763" s="359">
        <f t="shared" ca="1" si="335"/>
        <v>-1.1518539817149338</v>
      </c>
      <c r="N763" s="357">
        <f t="shared" ca="1" si="336"/>
        <v>-65.996371767604799</v>
      </c>
      <c r="O763" s="343"/>
      <c r="P763" s="363">
        <f t="shared" ca="1" si="337"/>
        <v>23</v>
      </c>
      <c r="Q763" s="357">
        <f t="shared" ca="1" si="338"/>
        <v>0</v>
      </c>
      <c r="R763" s="359">
        <f t="shared" ca="1" si="339"/>
        <v>0</v>
      </c>
      <c r="S763" s="360">
        <f t="shared" ca="1" si="340"/>
        <v>10.637999999999975</v>
      </c>
      <c r="T763" s="357">
        <f t="shared" ca="1" si="320"/>
        <v>104.35877999999975</v>
      </c>
      <c r="U763" s="364">
        <f t="shared" ca="1" si="321"/>
        <v>0</v>
      </c>
      <c r="V763" s="359">
        <f t="shared" ca="1" si="322"/>
        <v>0.98664626507226583</v>
      </c>
      <c r="W763" s="357">
        <f t="shared" ca="1" si="323"/>
        <v>16.504841559723847</v>
      </c>
      <c r="X763" s="343"/>
      <c r="Y763" s="367" t="str">
        <f t="shared" ca="1" si="341"/>
        <v/>
      </c>
      <c r="Z763" s="368" t="str">
        <f t="shared" ca="1" si="342"/>
        <v/>
      </c>
      <c r="AA763" s="369" t="str">
        <f t="shared" ca="1" si="343"/>
        <v/>
      </c>
      <c r="AB763" s="344"/>
      <c r="AC763" s="363" t="e">
        <f t="shared" ca="1" si="344"/>
        <v>#N/A</v>
      </c>
      <c r="AD763" s="376" t="e">
        <f t="shared" ca="1" si="345"/>
        <v>#N/A</v>
      </c>
      <c r="AE763" s="377" t="e">
        <f t="shared" ca="1" si="324"/>
        <v>#N/A</v>
      </c>
      <c r="AF763" s="344"/>
      <c r="AG763" s="359">
        <f t="shared" ca="1" si="346"/>
        <v>7.4192416556212946</v>
      </c>
      <c r="AH763" s="357">
        <f t="shared" ca="1" si="347"/>
        <v>-1.5234840080955052</v>
      </c>
    </row>
    <row r="764" spans="1:34" x14ac:dyDescent="0.25">
      <c r="A764" s="402">
        <f t="shared" ca="1" si="325"/>
        <v>0.1</v>
      </c>
      <c r="B764" s="357">
        <f t="shared" ca="1" si="326"/>
        <v>31.00000000000011</v>
      </c>
      <c r="C764" s="342"/>
      <c r="D764" s="359">
        <f t="shared" ca="1" si="327"/>
        <v>-0.63114106415723092</v>
      </c>
      <c r="E764" s="360">
        <f t="shared" ca="1" si="328"/>
        <v>-8.3926755123261785</v>
      </c>
      <c r="F764" s="357">
        <f t="shared" ca="1" si="329"/>
        <v>8.4163734053370636</v>
      </c>
      <c r="G764" s="359">
        <f t="shared" ca="1" si="330"/>
        <v>34.754574310735329</v>
      </c>
      <c r="H764" s="360">
        <f t="shared" ca="1" si="331"/>
        <v>-79.027750602514033</v>
      </c>
      <c r="I764" s="357">
        <f t="shared" ca="1" si="332"/>
        <v>86.3322987115111</v>
      </c>
      <c r="J764" s="359">
        <f t="shared" ca="1" si="333"/>
        <v>1281.3854531141844</v>
      </c>
      <c r="K764" s="360">
        <f t="shared" ca="1" si="334"/>
        <v>2147.580939486736</v>
      </c>
      <c r="L764" s="357">
        <f t="shared" ca="1" si="319"/>
        <v>2500.8103828757939</v>
      </c>
      <c r="M764" s="359">
        <f t="shared" ca="1" si="335"/>
        <v>-1.1564764326853412</v>
      </c>
      <c r="N764" s="357">
        <f t="shared" ca="1" si="336"/>
        <v>-66.261218699215306</v>
      </c>
      <c r="O764" s="343"/>
      <c r="P764" s="363">
        <f t="shared" ca="1" si="337"/>
        <v>23</v>
      </c>
      <c r="Q764" s="357">
        <f t="shared" ca="1" si="338"/>
        <v>0</v>
      </c>
      <c r="R764" s="359">
        <f t="shared" ca="1" si="339"/>
        <v>0</v>
      </c>
      <c r="S764" s="360">
        <f t="shared" ca="1" si="340"/>
        <v>10.637999999999975</v>
      </c>
      <c r="T764" s="357">
        <f t="shared" ca="1" si="320"/>
        <v>104.35877999999975</v>
      </c>
      <c r="U764" s="364">
        <f t="shared" ca="1" si="321"/>
        <v>0</v>
      </c>
      <c r="V764" s="359">
        <f t="shared" ca="1" si="322"/>
        <v>0.98743124176321728</v>
      </c>
      <c r="W764" s="357">
        <f t="shared" ca="1" si="323"/>
        <v>16.805584275820312</v>
      </c>
      <c r="X764" s="343"/>
      <c r="Y764" s="367" t="str">
        <f t="shared" ca="1" si="341"/>
        <v/>
      </c>
      <c r="Z764" s="368" t="str">
        <f t="shared" ca="1" si="342"/>
        <v/>
      </c>
      <c r="AA764" s="369" t="str">
        <f t="shared" ca="1" si="343"/>
        <v/>
      </c>
      <c r="AB764" s="344"/>
      <c r="AC764" s="363">
        <f t="shared" ca="1" si="344"/>
        <v>31.00000000000011</v>
      </c>
      <c r="AD764" s="376">
        <f t="shared" ca="1" si="345"/>
        <v>1281.3854531141844</v>
      </c>
      <c r="AE764" s="377" t="e">
        <f t="shared" ca="1" si="324"/>
        <v>#N/A</v>
      </c>
      <c r="AF764" s="344"/>
      <c r="AG764" s="359">
        <f t="shared" ca="1" si="346"/>
        <v>7.4101297022972146</v>
      </c>
      <c r="AH764" s="357">
        <f t="shared" ca="1" si="347"/>
        <v>-1.5514985485734052</v>
      </c>
    </row>
    <row r="765" spans="1:34" x14ac:dyDescent="0.25">
      <c r="A765" s="402">
        <f t="shared" ca="1" si="325"/>
        <v>0.1</v>
      </c>
      <c r="B765" s="357">
        <f t="shared" ca="1" si="326"/>
        <v>31.100000000000112</v>
      </c>
      <c r="C765" s="342"/>
      <c r="D765" s="359">
        <f t="shared" ca="1" si="327"/>
        <v>-0.63596365817654277</v>
      </c>
      <c r="E765" s="360">
        <f t="shared" ca="1" si="328"/>
        <v>-8.3638946061809811</v>
      </c>
      <c r="F765" s="357">
        <f t="shared" ca="1" si="329"/>
        <v>8.3880380756065129</v>
      </c>
      <c r="G765" s="359">
        <f t="shared" ca="1" si="330"/>
        <v>34.690977944917677</v>
      </c>
      <c r="H765" s="360">
        <f t="shared" ca="1" si="331"/>
        <v>-79.864140063132126</v>
      </c>
      <c r="I765" s="357">
        <f t="shared" ca="1" si="332"/>
        <v>87.073215277709537</v>
      </c>
      <c r="J765" s="359">
        <f t="shared" ca="1" si="333"/>
        <v>1284.857730726967</v>
      </c>
      <c r="K765" s="360">
        <f t="shared" ca="1" si="334"/>
        <v>2139.6363449534538</v>
      </c>
      <c r="L765" s="357">
        <f t="shared" ca="1" si="319"/>
        <v>2495.7770487074013</v>
      </c>
      <c r="M765" s="359">
        <f t="shared" ca="1" si="335"/>
        <v>-1.1610119265467709</v>
      </c>
      <c r="N765" s="357">
        <f t="shared" ca="1" si="336"/>
        <v>-66.521083355482716</v>
      </c>
      <c r="O765" s="343"/>
      <c r="P765" s="363">
        <f t="shared" ca="1" si="337"/>
        <v>23</v>
      </c>
      <c r="Q765" s="357">
        <f t="shared" ca="1" si="338"/>
        <v>0</v>
      </c>
      <c r="R765" s="359">
        <f t="shared" ca="1" si="339"/>
        <v>0</v>
      </c>
      <c r="S765" s="360">
        <f t="shared" ca="1" si="340"/>
        <v>10.637999999999975</v>
      </c>
      <c r="T765" s="357">
        <f t="shared" ca="1" si="320"/>
        <v>104.35877999999975</v>
      </c>
      <c r="U765" s="364">
        <f t="shared" ca="1" si="321"/>
        <v>0</v>
      </c>
      <c r="V765" s="359">
        <f t="shared" ca="1" si="322"/>
        <v>0.98822515133222333</v>
      </c>
      <c r="W765" s="357">
        <f t="shared" ca="1" si="323"/>
        <v>17.109022946191189</v>
      </c>
      <c r="X765" s="343"/>
      <c r="Y765" s="367" t="str">
        <f t="shared" ca="1" si="341"/>
        <v/>
      </c>
      <c r="Z765" s="368" t="str">
        <f t="shared" ca="1" si="342"/>
        <v/>
      </c>
      <c r="AA765" s="369" t="str">
        <f t="shared" ca="1" si="343"/>
        <v/>
      </c>
      <c r="AB765" s="344"/>
      <c r="AC765" s="363" t="e">
        <f t="shared" ca="1" si="344"/>
        <v>#N/A</v>
      </c>
      <c r="AD765" s="376" t="e">
        <f t="shared" ca="1" si="345"/>
        <v>#N/A</v>
      </c>
      <c r="AE765" s="377" t="e">
        <f t="shared" ca="1" si="324"/>
        <v>#N/A</v>
      </c>
      <c r="AF765" s="344"/>
      <c r="AG765" s="359">
        <f t="shared" ca="1" si="346"/>
        <v>7.4002098904007818</v>
      </c>
      <c r="AH765" s="357">
        <f t="shared" ca="1" si="347"/>
        <v>-1.5797691554634661</v>
      </c>
    </row>
    <row r="766" spans="1:34" x14ac:dyDescent="0.25">
      <c r="A766" s="402">
        <f t="shared" ca="1" si="325"/>
        <v>0.1</v>
      </c>
      <c r="B766" s="357">
        <f t="shared" ca="1" si="326"/>
        <v>31.200000000000113</v>
      </c>
      <c r="C766" s="342"/>
      <c r="D766" s="359">
        <f t="shared" ca="1" si="327"/>
        <v>-0.64076264297651309</v>
      </c>
      <c r="E766" s="360">
        <f t="shared" ca="1" si="328"/>
        <v>-8.3348626444848879</v>
      </c>
      <c r="F766" s="357">
        <f t="shared" ca="1" si="329"/>
        <v>8.3594564456706077</v>
      </c>
      <c r="G766" s="359">
        <f t="shared" ca="1" si="330"/>
        <v>34.626901680620023</v>
      </c>
      <c r="H766" s="360">
        <f t="shared" ca="1" si="331"/>
        <v>-80.697626327580622</v>
      </c>
      <c r="I766" s="357">
        <f t="shared" ca="1" si="332"/>
        <v>87.813035563663092</v>
      </c>
      <c r="J766" s="359">
        <f t="shared" ca="1" si="333"/>
        <v>1288.3236247082439</v>
      </c>
      <c r="K766" s="360">
        <f t="shared" ca="1" si="334"/>
        <v>2131.6082566339182</v>
      </c>
      <c r="L766" s="357">
        <f t="shared" ca="1" si="319"/>
        <v>2490.6889652727173</v>
      </c>
      <c r="M766" s="359">
        <f t="shared" ca="1" si="335"/>
        <v>-1.1654627812002276</v>
      </c>
      <c r="N766" s="357">
        <f t="shared" ca="1" si="336"/>
        <v>-66.776098542351946</v>
      </c>
      <c r="O766" s="343"/>
      <c r="P766" s="363">
        <f t="shared" ca="1" si="337"/>
        <v>23</v>
      </c>
      <c r="Q766" s="357">
        <f t="shared" ca="1" si="338"/>
        <v>0</v>
      </c>
      <c r="R766" s="359">
        <f t="shared" ca="1" si="339"/>
        <v>0</v>
      </c>
      <c r="S766" s="360">
        <f t="shared" ca="1" si="340"/>
        <v>10.637999999999975</v>
      </c>
      <c r="T766" s="357">
        <f t="shared" ca="1" si="320"/>
        <v>104.35877999999975</v>
      </c>
      <c r="U766" s="364">
        <f t="shared" ca="1" si="321"/>
        <v>0</v>
      </c>
      <c r="V766" s="359">
        <f t="shared" ca="1" si="322"/>
        <v>0.98902798349786991</v>
      </c>
      <c r="W766" s="357">
        <f t="shared" ca="1" si="323"/>
        <v>17.415129289428503</v>
      </c>
      <c r="X766" s="343"/>
      <c r="Y766" s="367" t="str">
        <f t="shared" ca="1" si="341"/>
        <v/>
      </c>
      <c r="Z766" s="368" t="str">
        <f t="shared" ca="1" si="342"/>
        <v/>
      </c>
      <c r="AA766" s="369" t="str">
        <f t="shared" ca="1" si="343"/>
        <v/>
      </c>
      <c r="AB766" s="344"/>
      <c r="AC766" s="363" t="e">
        <f t="shared" ca="1" si="344"/>
        <v>#N/A</v>
      </c>
      <c r="AD766" s="376" t="e">
        <f t="shared" ca="1" si="345"/>
        <v>#N/A</v>
      </c>
      <c r="AE766" s="377" t="e">
        <f t="shared" ca="1" si="324"/>
        <v>#N/A</v>
      </c>
      <c r="AF766" s="344"/>
      <c r="AG766" s="359">
        <f t="shared" ca="1" si="346"/>
        <v>7.3895049456775812</v>
      </c>
      <c r="AH766" s="357">
        <f t="shared" ca="1" si="347"/>
        <v>-1.6082931891512717</v>
      </c>
    </row>
    <row r="767" spans="1:34" x14ac:dyDescent="0.25">
      <c r="A767" s="402">
        <f t="shared" ca="1" si="325"/>
        <v>0.1</v>
      </c>
      <c r="B767" s="357">
        <f t="shared" ca="1" si="326"/>
        <v>31.300000000000114</v>
      </c>
      <c r="C767" s="342"/>
      <c r="D767" s="359">
        <f t="shared" ca="1" si="327"/>
        <v>-0.64553732835668087</v>
      </c>
      <c r="E767" s="360">
        <f t="shared" ca="1" si="328"/>
        <v>-8.3055821174902373</v>
      </c>
      <c r="F767" s="357">
        <f t="shared" ca="1" si="329"/>
        <v>8.3306309936688177</v>
      </c>
      <c r="G767" s="359">
        <f t="shared" ca="1" si="330"/>
        <v>34.562347947784353</v>
      </c>
      <c r="H767" s="360">
        <f t="shared" ca="1" si="331"/>
        <v>-81.528184539329644</v>
      </c>
      <c r="I767" s="357">
        <f t="shared" ca="1" si="332"/>
        <v>88.551684173383748</v>
      </c>
      <c r="J767" s="359">
        <f t="shared" ca="1" si="333"/>
        <v>1291.783087189664</v>
      </c>
      <c r="K767" s="360">
        <f t="shared" ca="1" si="334"/>
        <v>2123.4969660905726</v>
      </c>
      <c r="L767" s="357">
        <f t="shared" ca="1" si="319"/>
        <v>2485.5468028876717</v>
      </c>
      <c r="M767" s="359">
        <f t="shared" ca="1" si="335"/>
        <v>-1.1698312396236672</v>
      </c>
      <c r="N767" s="357">
        <f t="shared" ca="1" si="336"/>
        <v>-67.026392772993404</v>
      </c>
      <c r="O767" s="343"/>
      <c r="P767" s="363">
        <f t="shared" ca="1" si="337"/>
        <v>23</v>
      </c>
      <c r="Q767" s="357">
        <f t="shared" ca="1" si="338"/>
        <v>0</v>
      </c>
      <c r="R767" s="359">
        <f t="shared" ca="1" si="339"/>
        <v>0</v>
      </c>
      <c r="S767" s="360">
        <f t="shared" ca="1" si="340"/>
        <v>10.637999999999975</v>
      </c>
      <c r="T767" s="357">
        <f t="shared" ca="1" si="320"/>
        <v>104.35877999999975</v>
      </c>
      <c r="U767" s="364">
        <f t="shared" ca="1" si="321"/>
        <v>0</v>
      </c>
      <c r="V767" s="359">
        <f t="shared" ca="1" si="322"/>
        <v>0.98983972787412156</v>
      </c>
      <c r="W767" s="357">
        <f t="shared" ca="1" si="323"/>
        <v>17.723874826722309</v>
      </c>
      <c r="X767" s="343"/>
      <c r="Y767" s="367" t="str">
        <f t="shared" ca="1" si="341"/>
        <v/>
      </c>
      <c r="Z767" s="368" t="str">
        <f t="shared" ca="1" si="342"/>
        <v/>
      </c>
      <c r="AA767" s="369" t="str">
        <f t="shared" ca="1" si="343"/>
        <v/>
      </c>
      <c r="AB767" s="344"/>
      <c r="AC767" s="363" t="e">
        <f t="shared" ca="1" si="344"/>
        <v>#N/A</v>
      </c>
      <c r="AD767" s="376" t="e">
        <f t="shared" ca="1" si="345"/>
        <v>#N/A</v>
      </c>
      <c r="AE767" s="377" t="e">
        <f t="shared" ca="1" si="324"/>
        <v>#N/A</v>
      </c>
      <c r="AF767" s="344"/>
      <c r="AG767" s="359">
        <f t="shared" ca="1" si="346"/>
        <v>7.3780367617559177</v>
      </c>
      <c r="AH767" s="357">
        <f t="shared" ca="1" si="347"/>
        <v>-1.6370679911100341</v>
      </c>
    </row>
    <row r="768" spans="1:34" x14ac:dyDescent="0.25">
      <c r="A768" s="402">
        <f t="shared" ca="1" si="325"/>
        <v>0.1</v>
      </c>
      <c r="B768" s="357">
        <f t="shared" ca="1" si="326"/>
        <v>31.400000000000116</v>
      </c>
      <c r="C768" s="342"/>
      <c r="D768" s="359">
        <f t="shared" ca="1" si="327"/>
        <v>-0.65028704300599394</v>
      </c>
      <c r="E768" s="360">
        <f t="shared" ca="1" si="328"/>
        <v>-8.2760555432801155</v>
      </c>
      <c r="F768" s="357">
        <f t="shared" ca="1" si="329"/>
        <v>8.3015642257202948</v>
      </c>
      <c r="G768" s="359">
        <f t="shared" ca="1" si="330"/>
        <v>34.497319243483751</v>
      </c>
      <c r="H768" s="360">
        <f t="shared" ca="1" si="331"/>
        <v>-82.35579009365766</v>
      </c>
      <c r="I768" s="357">
        <f t="shared" ca="1" si="332"/>
        <v>89.289087781976122</v>
      </c>
      <c r="J768" s="359">
        <f t="shared" ca="1" si="333"/>
        <v>1295.2360705492274</v>
      </c>
      <c r="K768" s="360">
        <f t="shared" ca="1" si="334"/>
        <v>2115.3027673589231</v>
      </c>
      <c r="L768" s="357">
        <f t="shared" ca="1" si="319"/>
        <v>2480.3512404593271</v>
      </c>
      <c r="M768" s="359">
        <f t="shared" ca="1" si="335"/>
        <v>-1.1741194725280757</v>
      </c>
      <c r="N768" s="357">
        <f t="shared" ca="1" si="336"/>
        <v>-67.272090419985147</v>
      </c>
      <c r="O768" s="343"/>
      <c r="P768" s="363">
        <f t="shared" ca="1" si="337"/>
        <v>23</v>
      </c>
      <c r="Q768" s="357">
        <f t="shared" ca="1" si="338"/>
        <v>0</v>
      </c>
      <c r="R768" s="359">
        <f t="shared" ca="1" si="339"/>
        <v>0</v>
      </c>
      <c r="S768" s="360">
        <f t="shared" ca="1" si="340"/>
        <v>10.637999999999975</v>
      </c>
      <c r="T768" s="357">
        <f t="shared" ca="1" si="320"/>
        <v>104.35877999999975</v>
      </c>
      <c r="U768" s="364">
        <f t="shared" ca="1" si="321"/>
        <v>0</v>
      </c>
      <c r="V768" s="359">
        <f t="shared" ca="1" si="322"/>
        <v>0.99066037397062179</v>
      </c>
      <c r="W768" s="357">
        <f t="shared" ca="1" si="323"/>
        <v>18.035230885696777</v>
      </c>
      <c r="X768" s="343"/>
      <c r="Y768" s="367" t="str">
        <f t="shared" ca="1" si="341"/>
        <v/>
      </c>
      <c r="Z768" s="368" t="str">
        <f t="shared" ca="1" si="342"/>
        <v/>
      </c>
      <c r="AA768" s="369" t="str">
        <f t="shared" ca="1" si="343"/>
        <v/>
      </c>
      <c r="AB768" s="344"/>
      <c r="AC768" s="363" t="e">
        <f t="shared" ca="1" si="344"/>
        <v>#N/A</v>
      </c>
      <c r="AD768" s="376" t="e">
        <f t="shared" ca="1" si="345"/>
        <v>#N/A</v>
      </c>
      <c r="AE768" s="377" t="e">
        <f t="shared" ca="1" si="324"/>
        <v>#N/A</v>
      </c>
      <c r="AF768" s="344"/>
      <c r="AG768" s="359">
        <f t="shared" ca="1" si="346"/>
        <v>7.3658264394707578</v>
      </c>
      <c r="AH768" s="357">
        <f t="shared" ca="1" si="347"/>
        <v>-1.6660908842566602</v>
      </c>
    </row>
    <row r="769" spans="1:34" x14ac:dyDescent="0.25">
      <c r="A769" s="402">
        <f t="shared" ca="1" si="325"/>
        <v>0.1</v>
      </c>
      <c r="B769" s="357">
        <f t="shared" ca="1" si="326"/>
        <v>31.500000000000117</v>
      </c>
      <c r="C769" s="342"/>
      <c r="D769" s="359">
        <f t="shared" ca="1" si="327"/>
        <v>-0.6550111339129483</v>
      </c>
      <c r="E769" s="360">
        <f t="shared" ca="1" si="328"/>
        <v>-8.2462854669139833</v>
      </c>
      <c r="F769" s="357">
        <f t="shared" ca="1" si="329"/>
        <v>8.2722586750770013</v>
      </c>
      <c r="G769" s="359">
        <f t="shared" ca="1" si="330"/>
        <v>34.431818130092459</v>
      </c>
      <c r="H769" s="360">
        <f t="shared" ca="1" si="331"/>
        <v>-83.18041864034906</v>
      </c>
      <c r="I769" s="357">
        <f t="shared" ca="1" si="332"/>
        <v>90.025175061909735</v>
      </c>
      <c r="J769" s="359">
        <f t="shared" ca="1" si="333"/>
        <v>1298.6825274179062</v>
      </c>
      <c r="K769" s="360">
        <f t="shared" ca="1" si="334"/>
        <v>2107.0259569222226</v>
      </c>
      <c r="L769" s="357">
        <f t="shared" ca="1" si="319"/>
        <v>2475.1029655682141</v>
      </c>
      <c r="M769" s="359">
        <f t="shared" ca="1" si="335"/>
        <v>-1.1783295809231698</v>
      </c>
      <c r="N769" s="357">
        <f t="shared" ca="1" si="336"/>
        <v>-67.513311862316627</v>
      </c>
      <c r="O769" s="343"/>
      <c r="P769" s="363">
        <f t="shared" ca="1" si="337"/>
        <v>23</v>
      </c>
      <c r="Q769" s="357">
        <f t="shared" ca="1" si="338"/>
        <v>0</v>
      </c>
      <c r="R769" s="359">
        <f t="shared" ca="1" si="339"/>
        <v>0</v>
      </c>
      <c r="S769" s="360">
        <f t="shared" ca="1" si="340"/>
        <v>10.637999999999975</v>
      </c>
      <c r="T769" s="357">
        <f t="shared" ca="1" si="320"/>
        <v>104.35877999999975</v>
      </c>
      <c r="U769" s="364">
        <f t="shared" ca="1" si="321"/>
        <v>0</v>
      </c>
      <c r="V769" s="359">
        <f t="shared" ca="1" si="322"/>
        <v>0.99148991119300545</v>
      </c>
      <c r="W769" s="357">
        <f t="shared" ca="1" si="323"/>
        <v>18.349168604292544</v>
      </c>
      <c r="X769" s="343"/>
      <c r="Y769" s="367" t="str">
        <f t="shared" ca="1" si="341"/>
        <v/>
      </c>
      <c r="Z769" s="368" t="str">
        <f t="shared" ca="1" si="342"/>
        <v/>
      </c>
      <c r="AA769" s="369" t="str">
        <f t="shared" ca="1" si="343"/>
        <v/>
      </c>
      <c r="AB769" s="344"/>
      <c r="AC769" s="363" t="e">
        <f t="shared" ca="1" si="344"/>
        <v>#N/A</v>
      </c>
      <c r="AD769" s="376" t="e">
        <f t="shared" ca="1" si="345"/>
        <v>#N/A</v>
      </c>
      <c r="AE769" s="377" t="e">
        <f t="shared" ca="1" si="324"/>
        <v>#N/A</v>
      </c>
      <c r="AF769" s="344"/>
      <c r="AG769" s="359">
        <f t="shared" ca="1" si="346"/>
        <v>7.3528943242652796</v>
      </c>
      <c r="AH769" s="357">
        <f t="shared" ca="1" si="347"/>
        <v>-1.6953591733123536</v>
      </c>
    </row>
    <row r="770" spans="1:34" x14ac:dyDescent="0.25">
      <c r="A770" s="402">
        <f t="shared" ca="1" si="325"/>
        <v>0.1</v>
      </c>
      <c r="B770" s="357">
        <f t="shared" ca="1" si="326"/>
        <v>31.600000000000119</v>
      </c>
      <c r="C770" s="342"/>
      <c r="D770" s="359">
        <f t="shared" ca="1" si="327"/>
        <v>-0.6597089658042149</v>
      </c>
      <c r="E770" s="360">
        <f t="shared" ca="1" si="328"/>
        <v>-8.2162744595985426</v>
      </c>
      <c r="F770" s="357">
        <f t="shared" ca="1" si="329"/>
        <v>8.2427169013022521</v>
      </c>
      <c r="G770" s="359">
        <f t="shared" ca="1" si="330"/>
        <v>34.365847233512035</v>
      </c>
      <c r="H770" s="360">
        <f t="shared" ca="1" si="331"/>
        <v>-84.002046086308908</v>
      </c>
      <c r="I770" s="357">
        <f t="shared" ca="1" si="332"/>
        <v>90.759876612760181</v>
      </c>
      <c r="J770" s="359">
        <f t="shared" ca="1" si="333"/>
        <v>1302.1224106860864</v>
      </c>
      <c r="K770" s="360">
        <f t="shared" ca="1" si="334"/>
        <v>2098.6668336858897</v>
      </c>
      <c r="L770" s="357">
        <f t="shared" ca="1" si="319"/>
        <v>2469.8026745519778</v>
      </c>
      <c r="M770" s="359">
        <f t="shared" ca="1" si="335"/>
        <v>-1.1824635985945442</v>
      </c>
      <c r="N770" s="357">
        <f t="shared" ca="1" si="336"/>
        <v>-67.750173627318887</v>
      </c>
      <c r="O770" s="343"/>
      <c r="P770" s="363">
        <f t="shared" ca="1" si="337"/>
        <v>23</v>
      </c>
      <c r="Q770" s="357">
        <f t="shared" ca="1" si="338"/>
        <v>0</v>
      </c>
      <c r="R770" s="359">
        <f t="shared" ca="1" si="339"/>
        <v>0</v>
      </c>
      <c r="S770" s="360">
        <f t="shared" ca="1" si="340"/>
        <v>10.637999999999975</v>
      </c>
      <c r="T770" s="357">
        <f t="shared" ca="1" si="320"/>
        <v>104.35877999999975</v>
      </c>
      <c r="U770" s="364">
        <f t="shared" ca="1" si="321"/>
        <v>0</v>
      </c>
      <c r="V770" s="359">
        <f t="shared" ca="1" si="322"/>
        <v>0.99232832884322797</v>
      </c>
      <c r="W770" s="357">
        <f t="shared" ca="1" si="323"/>
        <v>18.665658934694168</v>
      </c>
      <c r="X770" s="343"/>
      <c r="Y770" s="367" t="str">
        <f t="shared" ca="1" si="341"/>
        <v/>
      </c>
      <c r="Z770" s="368" t="str">
        <f t="shared" ca="1" si="342"/>
        <v/>
      </c>
      <c r="AA770" s="369" t="str">
        <f t="shared" ca="1" si="343"/>
        <v/>
      </c>
      <c r="AB770" s="344"/>
      <c r="AC770" s="363" t="e">
        <f t="shared" ca="1" si="344"/>
        <v>#N/A</v>
      </c>
      <c r="AD770" s="376" t="e">
        <f t="shared" ca="1" si="345"/>
        <v>#N/A</v>
      </c>
      <c r="AE770" s="377" t="e">
        <f t="shared" ca="1" si="324"/>
        <v>#N/A</v>
      </c>
      <c r="AF770" s="344"/>
      <c r="AG770" s="359">
        <f t="shared" ca="1" si="346"/>
        <v>7.3392600417569955</v>
      </c>
      <c r="AH770" s="357">
        <f t="shared" ca="1" si="347"/>
        <v>-1.7248701451675679</v>
      </c>
    </row>
    <row r="771" spans="1:34" x14ac:dyDescent="0.25">
      <c r="A771" s="402">
        <f t="shared" ca="1" si="325"/>
        <v>0.1</v>
      </c>
      <c r="B771" s="357">
        <f t="shared" ca="1" si="326"/>
        <v>31.70000000000012</v>
      </c>
      <c r="C771" s="342"/>
      <c r="D771" s="359">
        <f t="shared" ca="1" si="327"/>
        <v>-0.66437992061032081</v>
      </c>
      <c r="E771" s="360">
        <f t="shared" ca="1" si="328"/>
        <v>-8.1860251178820445</v>
      </c>
      <c r="F771" s="357">
        <f t="shared" ca="1" si="329"/>
        <v>8.212941489472934</v>
      </c>
      <c r="G771" s="359">
        <f t="shared" ca="1" si="330"/>
        <v>34.299409241451002</v>
      </c>
      <c r="H771" s="360">
        <f t="shared" ca="1" si="331"/>
        <v>-84.820648598097108</v>
      </c>
      <c r="I771" s="357">
        <f t="shared" ca="1" si="332"/>
        <v>91.4931248942477</v>
      </c>
      <c r="J771" s="359">
        <f t="shared" ca="1" si="333"/>
        <v>1305.5556735098346</v>
      </c>
      <c r="K771" s="360">
        <f t="shared" ca="1" si="334"/>
        <v>2090.2256989516695</v>
      </c>
      <c r="L771" s="357">
        <f t="shared" ca="1" si="319"/>
        <v>2464.4510725903474</v>
      </c>
      <c r="M771" s="359">
        <f t="shared" ca="1" si="335"/>
        <v>-1.1865234944942373</v>
      </c>
      <c r="N771" s="357">
        <f t="shared" ca="1" si="336"/>
        <v>-67.982788527633772</v>
      </c>
      <c r="O771" s="343"/>
      <c r="P771" s="363">
        <f t="shared" ca="1" si="337"/>
        <v>23</v>
      </c>
      <c r="Q771" s="357">
        <f t="shared" ca="1" si="338"/>
        <v>0</v>
      </c>
      <c r="R771" s="359">
        <f t="shared" ca="1" si="339"/>
        <v>0</v>
      </c>
      <c r="S771" s="360">
        <f t="shared" ca="1" si="340"/>
        <v>10.637999999999975</v>
      </c>
      <c r="T771" s="357">
        <f t="shared" ca="1" si="320"/>
        <v>104.35877999999975</v>
      </c>
      <c r="U771" s="364">
        <f t="shared" ca="1" si="321"/>
        <v>0</v>
      </c>
      <c r="V771" s="359">
        <f t="shared" ca="1" si="322"/>
        <v>0.99317561611991079</v>
      </c>
      <c r="W771" s="357">
        <f t="shared" ca="1" si="323"/>
        <v>18.984672647301025</v>
      </c>
      <c r="X771" s="343"/>
      <c r="Y771" s="367" t="str">
        <f t="shared" ca="1" si="341"/>
        <v/>
      </c>
      <c r="Z771" s="368" t="str">
        <f t="shared" ca="1" si="342"/>
        <v/>
      </c>
      <c r="AA771" s="369" t="str">
        <f t="shared" ca="1" si="343"/>
        <v/>
      </c>
      <c r="AB771" s="344"/>
      <c r="AC771" s="363" t="e">
        <f t="shared" ca="1" si="344"/>
        <v>#N/A</v>
      </c>
      <c r="AD771" s="376" t="e">
        <f t="shared" ca="1" si="345"/>
        <v>#N/A</v>
      </c>
      <c r="AE771" s="377" t="e">
        <f t="shared" ca="1" si="324"/>
        <v>#N/A</v>
      </c>
      <c r="AF771" s="344"/>
      <c r="AG771" s="359">
        <f t="shared" ca="1" si="346"/>
        <v>7.3249425315529226</v>
      </c>
      <c r="AH771" s="357">
        <f t="shared" ca="1" si="347"/>
        <v>-1.754621069251195</v>
      </c>
    </row>
    <row r="772" spans="1:34" x14ac:dyDescent="0.25">
      <c r="A772" s="402">
        <f t="shared" ca="1" si="325"/>
        <v>0.1</v>
      </c>
      <c r="B772" s="357">
        <f t="shared" ca="1" si="326"/>
        <v>31.800000000000122</v>
      </c>
      <c r="C772" s="342"/>
      <c r="D772" s="359">
        <f t="shared" ca="1" si="327"/>
        <v>-0.66902339695700919</v>
      </c>
      <c r="E772" s="360">
        <f t="shared" ca="1" si="328"/>
        <v>-8.1555400628703349</v>
      </c>
      <c r="F772" s="357">
        <f t="shared" ca="1" si="329"/>
        <v>8.1829350494036657</v>
      </c>
      <c r="G772" s="359">
        <f t="shared" ca="1" si="330"/>
        <v>34.232506901755301</v>
      </c>
      <c r="H772" s="360">
        <f t="shared" ca="1" si="331"/>
        <v>-85.636202604384138</v>
      </c>
      <c r="I772" s="357">
        <f t="shared" ca="1" si="332"/>
        <v>92.224854162410324</v>
      </c>
      <c r="J772" s="359">
        <f t="shared" ca="1" si="333"/>
        <v>1308.9822693169949</v>
      </c>
      <c r="K772" s="360">
        <f t="shared" ca="1" si="334"/>
        <v>2081.7028563915455</v>
      </c>
      <c r="L772" s="357">
        <f t="shared" ref="L772:L835" ca="1" si="348">SQRT(pos_x^2+pos_z^2)</f>
        <v>2459.0488737914484</v>
      </c>
      <c r="M772" s="359">
        <f t="shared" ca="1" si="335"/>
        <v>-1.1905111750468051</v>
      </c>
      <c r="N772" s="357">
        <f t="shared" ca="1" si="336"/>
        <v>-68.211265793342307</v>
      </c>
      <c r="O772" s="343"/>
      <c r="P772" s="363">
        <f t="shared" ca="1" si="337"/>
        <v>23</v>
      </c>
      <c r="Q772" s="357">
        <f t="shared" ca="1" si="338"/>
        <v>0</v>
      </c>
      <c r="R772" s="359">
        <f t="shared" ca="1" si="339"/>
        <v>0</v>
      </c>
      <c r="S772" s="360">
        <f t="shared" ca="1" si="340"/>
        <v>10.637999999999975</v>
      </c>
      <c r="T772" s="357">
        <f t="shared" ref="T772:T835" ca="1" si="349">m*g</f>
        <v>104.35877999999975</v>
      </c>
      <c r="U772" s="364">
        <f t="shared" ref="U772:U835" ca="1" si="350">IF(pos_xz&lt;L_rampe,Poids*COS(Beta),0)</f>
        <v>0</v>
      </c>
      <c r="V772" s="359">
        <f t="shared" ref="V772:V835" ca="1" si="351">Rho_moyen*(20000-Alt_rampe-pos_z)/(20000+Alt_rampe+pos_z)</f>
        <v>0.99403176211869726</v>
      </c>
      <c r="W772" s="357">
        <f t="shared" ref="W772:W835" ca="1" si="352">1/2*Rho*Sref*Cx*vit_xz^2</f>
        <v>19.306180334740162</v>
      </c>
      <c r="X772" s="343"/>
      <c r="Y772" s="367" t="str">
        <f t="shared" ca="1" si="341"/>
        <v/>
      </c>
      <c r="Z772" s="368" t="str">
        <f t="shared" ca="1" si="342"/>
        <v/>
      </c>
      <c r="AA772" s="369" t="str">
        <f t="shared" ca="1" si="343"/>
        <v/>
      </c>
      <c r="AB772" s="344"/>
      <c r="AC772" s="363" t="e">
        <f t="shared" ca="1" si="344"/>
        <v>#N/A</v>
      </c>
      <c r="AD772" s="376" t="e">
        <f t="shared" ca="1" si="345"/>
        <v>#N/A</v>
      </c>
      <c r="AE772" s="377" t="e">
        <f t="shared" ref="AE772:AE835" ca="1" si="353">IF(t&lt;T_para, pos_z, NA())</f>
        <v>#N/A</v>
      </c>
      <c r="AF772" s="344"/>
      <c r="AG772" s="359">
        <f t="shared" ca="1" si="346"/>
        <v>7.309960079395454</v>
      </c>
      <c r="AH772" s="357">
        <f t="shared" ca="1" si="347"/>
        <v>-1.7846091979038419</v>
      </c>
    </row>
    <row r="773" spans="1:34" x14ac:dyDescent="0.25">
      <c r="A773" s="402">
        <f t="shared" ref="A773:A836" ca="1" si="354">IF(B772+0.01&lt;=T_ini+ROUNDUP(Temps_fin_propu,0), 0.01, IF(K772&gt;0, 0.1, 0.0001))</f>
        <v>0.1</v>
      </c>
      <c r="B773" s="357">
        <f t="shared" ref="B773:B836" ca="1" si="355">B772+pas</f>
        <v>31.900000000000123</v>
      </c>
      <c r="C773" s="342"/>
      <c r="D773" s="359">
        <f t="shared" ref="D773:D836" ca="1" si="356">IF(AND(L772&lt;L_rampe,Poussee&lt;Poids*SIN(M772)),0,(-W772+Poussee)/m*COS(M772)-U772/m*SIN(M772))</f>
        <v>-0.67363880968096812</v>
      </c>
      <c r="E773" s="360">
        <f t="shared" ref="E773:E836" ca="1" si="357">IF(AND(L772&lt;L_rampe,Poussee&lt;Poids*SIN(M772)),0,(-W772+Poussee)/m*SIN(M772)+U772/m*COS(M772)-Poids/m)</f>
        <v>-8.1248219394631143</v>
      </c>
      <c r="F773" s="357">
        <f t="shared" ref="F773:F836" ca="1" si="358">SQRT(acc_x^2+acc_z^2)</f>
        <v>8.1527002148913557</v>
      </c>
      <c r="G773" s="359">
        <f t="shared" ref="G773:G836" ca="1" si="359">G772+acc_x*pas</f>
        <v>34.165143020787205</v>
      </c>
      <c r="H773" s="360">
        <f t="shared" ref="H773:H836" ca="1" si="360">H772+acc_z*pas</f>
        <v>-86.448684798330447</v>
      </c>
      <c r="I773" s="357">
        <f t="shared" ref="I773:I836" ca="1" si="361">SQRT(vit_x^2+vit_z^2)</f>
        <v>92.955000408756575</v>
      </c>
      <c r="J773" s="359">
        <f t="shared" ref="J773:J836" ca="1" si="362">J772+0.5*(vit_x+G772)*pas*(K772&gt;=0)</f>
        <v>1312.4021518131221</v>
      </c>
      <c r="K773" s="360">
        <f t="shared" ref="K773:K836" ca="1" si="363">K772+0.5*(vit_z+H772)*pas</f>
        <v>2073.0986120214097</v>
      </c>
      <c r="L773" s="357">
        <f t="shared" ca="1" si="348"/>
        <v>2453.5968012794624</v>
      </c>
      <c r="M773" s="359">
        <f t="shared" ref="M773:M836" ca="1" si="364">IF(AND(L772&gt;L_rampe,G773&gt;0),ATAN2(G773,H773),$M$4)</f>
        <v>-1.1944284863730878</v>
      </c>
      <c r="N773" s="357">
        <f t="shared" ref="N773:N836" ca="1" si="365">DEGREES(Beta)</f>
        <v>-68.435711199377096</v>
      </c>
      <c r="O773" s="343"/>
      <c r="P773" s="363">
        <f t="shared" ref="P773:P836" ca="1" si="366">MATCH(t-pas/2-T_ini,CdP_t)</f>
        <v>23</v>
      </c>
      <c r="Q773" s="357">
        <f t="shared" ref="Q773:Q836" ca="1" si="367">(INDEX(CdP,2,i_P+1)-INDEX(CdP,2,i_P+0))/(INDEX(CdP,1,i_P+1)-INDEX(CdP,1,i_P+0))*(t-pas/2-T_ini-INDEX(CdP,1,i_P+0))+INDEX(CdP,2,i_P+0)</f>
        <v>0</v>
      </c>
      <c r="R773" s="359">
        <f t="shared" ref="R773:R836" ca="1" si="368">Poussee/(g*ISP)</f>
        <v>0</v>
      </c>
      <c r="S773" s="360">
        <f t="shared" ref="S773:S836" ca="1" si="369">S772-Débit*pas</f>
        <v>10.637999999999975</v>
      </c>
      <c r="T773" s="357">
        <f t="shared" ca="1" si="349"/>
        <v>104.35877999999975</v>
      </c>
      <c r="U773" s="364">
        <f t="shared" ca="1" si="350"/>
        <v>0</v>
      </c>
      <c r="V773" s="359">
        <f t="shared" ca="1" si="351"/>
        <v>0.99489675583262738</v>
      </c>
      <c r="W773" s="357">
        <f t="shared" ca="1" si="352"/>
        <v>19.630152415919813</v>
      </c>
      <c r="X773" s="343"/>
      <c r="Y773" s="367" t="str">
        <f t="shared" ref="Y773:Y836" ca="1" si="370">IF(AND(pos_z&lt;=0,K772&gt;0),"Impact balistique","") &amp; IF(AND(H774&lt;0,vit_z&gt;=0),"Apogée","") &amp; IF(AND(Poussee=0,Q772&gt;0),"Fin de propulsion","") &amp; IF(AND(L774&gt;L_rampe,pos_xz&lt;=L_rampe),"Sortie de rampe","")</f>
        <v/>
      </c>
      <c r="Z773" s="368" t="str">
        <f t="shared" ref="Z773:Z836" ca="1" si="371">IF(ABS(t-T_para)&lt;pas/2,"Para","")</f>
        <v/>
      </c>
      <c r="AA773" s="369" t="str">
        <f t="shared" ref="AA773:AA836" ca="1" si="372">IF(ABS(t-T_satellite)&lt;pas/2,"Satellite","")</f>
        <v/>
      </c>
      <c r="AB773" s="344"/>
      <c r="AC773" s="363" t="e">
        <f t="shared" ref="AC773:AC836" ca="1" si="373">IF(ABS(t-ROUND(t,0))&lt;0.001,t,NA())</f>
        <v>#N/A</v>
      </c>
      <c r="AD773" s="376" t="e">
        <f t="shared" ref="AD773:AD836" ca="1" si="374">IF(ABS(t-ROUND(t,0))&lt;0.001,pos_x,NA())</f>
        <v>#N/A</v>
      </c>
      <c r="AE773" s="377" t="e">
        <f t="shared" ca="1" si="353"/>
        <v>#N/A</v>
      </c>
      <c r="AF773" s="344"/>
      <c r="AG773" s="359">
        <f t="shared" ref="AG773:AG836" ca="1" si="375">IF(AND(L772&lt;L_rampe,Poussee&lt;Poids*SIN(M772)),0,(-W772+Poussee)/m-Poids*SIN(M772)/m)</f>
        <v>7.2943303477177626</v>
      </c>
      <c r="AH773" s="357">
        <f t="shared" ref="AH773:AH836" ca="1" si="376">IF(AND(L772&lt;L_rampe,Poussee&lt;Poids*SIN(M772)), g*SIN(M772), (-W772+Poussee)/m)</f>
        <v>-1.8148317667550486</v>
      </c>
    </row>
    <row r="774" spans="1:34" x14ac:dyDescent="0.25">
      <c r="A774" s="402">
        <f t="shared" ca="1" si="354"/>
        <v>0.1</v>
      </c>
      <c r="B774" s="357">
        <f t="shared" ca="1" si="355"/>
        <v>32.000000000000121</v>
      </c>
      <c r="C774" s="342"/>
      <c r="D774" s="359">
        <f t="shared" ca="1" si="356"/>
        <v>-0.6782255893686826</v>
      </c>
      <c r="E774" s="360">
        <f t="shared" ca="1" si="357"/>
        <v>-8.0938734156089538</v>
      </c>
      <c r="F774" s="357">
        <f t="shared" ca="1" si="358"/>
        <v>8.1222396429787675</v>
      </c>
      <c r="G774" s="359">
        <f t="shared" ca="1" si="359"/>
        <v>34.097320461850337</v>
      </c>
      <c r="H774" s="360">
        <f t="shared" ca="1" si="360"/>
        <v>-87.25807213989134</v>
      </c>
      <c r="I774" s="357">
        <f t="shared" ca="1" si="361"/>
        <v>93.683501302249581</v>
      </c>
      <c r="J774" s="359">
        <f t="shared" ca="1" si="362"/>
        <v>1315.815274987254</v>
      </c>
      <c r="K774" s="360">
        <f t="shared" ca="1" si="363"/>
        <v>2064.4132741744988</v>
      </c>
      <c r="L774" s="357">
        <f t="shared" ca="1" si="348"/>
        <v>2448.0955872836457</v>
      </c>
      <c r="M774" s="359">
        <f t="shared" ca="1" si="364"/>
        <v>-1.1982772164339137</v>
      </c>
      <c r="N774" s="357">
        <f t="shared" ca="1" si="365"/>
        <v>-68.656227188347543</v>
      </c>
      <c r="O774" s="343"/>
      <c r="P774" s="363">
        <f t="shared" ca="1" si="366"/>
        <v>23</v>
      </c>
      <c r="Q774" s="357">
        <f t="shared" ca="1" si="367"/>
        <v>0</v>
      </c>
      <c r="R774" s="359">
        <f t="shared" ca="1" si="368"/>
        <v>0</v>
      </c>
      <c r="S774" s="360">
        <f t="shared" ca="1" si="369"/>
        <v>10.637999999999975</v>
      </c>
      <c r="T774" s="357">
        <f t="shared" ca="1" si="349"/>
        <v>104.35877999999975</v>
      </c>
      <c r="U774" s="364">
        <f t="shared" ca="1" si="350"/>
        <v>0</v>
      </c>
      <c r="V774" s="359">
        <f t="shared" ca="1" si="351"/>
        <v>0.99577058615252267</v>
      </c>
      <c r="W774" s="357">
        <f t="shared" ca="1" si="352"/>
        <v>19.956559140122124</v>
      </c>
      <c r="X774" s="343"/>
      <c r="Y774" s="367" t="str">
        <f t="shared" ca="1" si="370"/>
        <v/>
      </c>
      <c r="Z774" s="368" t="str">
        <f t="shared" ca="1" si="371"/>
        <v/>
      </c>
      <c r="AA774" s="369" t="str">
        <f t="shared" ca="1" si="372"/>
        <v/>
      </c>
      <c r="AB774" s="344"/>
      <c r="AC774" s="363">
        <f t="shared" ca="1" si="373"/>
        <v>32.000000000000121</v>
      </c>
      <c r="AD774" s="376">
        <f t="shared" ca="1" si="374"/>
        <v>1315.815274987254</v>
      </c>
      <c r="AE774" s="377" t="e">
        <f t="shared" ca="1" si="353"/>
        <v>#N/A</v>
      </c>
      <c r="AF774" s="344"/>
      <c r="AG774" s="359">
        <f t="shared" ca="1" si="375"/>
        <v>7.2780704046847049</v>
      </c>
      <c r="AH774" s="357">
        <f t="shared" ca="1" si="376"/>
        <v>-1.8452859951043297</v>
      </c>
    </row>
    <row r="775" spans="1:34" x14ac:dyDescent="0.25">
      <c r="A775" s="402">
        <f t="shared" ca="1" si="354"/>
        <v>0.1</v>
      </c>
      <c r="B775" s="357">
        <f t="shared" ca="1" si="355"/>
        <v>32.100000000000122</v>
      </c>
      <c r="C775" s="342"/>
      <c r="D775" s="359">
        <f t="shared" ca="1" si="356"/>
        <v>-0.68278318191722953</v>
      </c>
      <c r="E775" s="360">
        <f t="shared" ca="1" si="357"/>
        <v>-8.0626971815777395</v>
      </c>
      <c r="F775" s="357">
        <f t="shared" ca="1" si="358"/>
        <v>8.0915560132356887</v>
      </c>
      <c r="G775" s="359">
        <f t="shared" ca="1" si="359"/>
        <v>34.029042143658614</v>
      </c>
      <c r="H775" s="360">
        <f t="shared" ca="1" si="360"/>
        <v>-88.064341858049119</v>
      </c>
      <c r="I775" s="357">
        <f t="shared" ca="1" si="361"/>
        <v>94.410296133982314</v>
      </c>
      <c r="J775" s="359">
        <f t="shared" ca="1" si="362"/>
        <v>1319.2215931175294</v>
      </c>
      <c r="K775" s="360">
        <f t="shared" ca="1" si="363"/>
        <v>2055.647153474602</v>
      </c>
      <c r="L775" s="357">
        <f t="shared" ca="1" si="348"/>
        <v>2442.54597322871</v>
      </c>
      <c r="M775" s="359">
        <f t="shared" ca="1" si="364"/>
        <v>-1.202059097096033</v>
      </c>
      <c r="N775" s="357">
        <f t="shared" ca="1" si="365"/>
        <v>-68.872912988909121</v>
      </c>
      <c r="O775" s="343"/>
      <c r="P775" s="363">
        <f t="shared" ca="1" si="366"/>
        <v>23</v>
      </c>
      <c r="Q775" s="357">
        <f t="shared" ca="1" si="367"/>
        <v>0</v>
      </c>
      <c r="R775" s="359">
        <f t="shared" ca="1" si="368"/>
        <v>0</v>
      </c>
      <c r="S775" s="360">
        <f t="shared" ca="1" si="369"/>
        <v>10.637999999999975</v>
      </c>
      <c r="T775" s="357">
        <f t="shared" ca="1" si="349"/>
        <v>104.35877999999975</v>
      </c>
      <c r="U775" s="364">
        <f t="shared" ca="1" si="350"/>
        <v>0</v>
      </c>
      <c r="V775" s="359">
        <f t="shared" ca="1" si="351"/>
        <v>0.99665324186738458</v>
      </c>
      <c r="W775" s="357">
        <f t="shared" ca="1" si="352"/>
        <v>20.285370591133617</v>
      </c>
      <c r="X775" s="343"/>
      <c r="Y775" s="367" t="str">
        <f t="shared" ca="1" si="370"/>
        <v/>
      </c>
      <c r="Z775" s="368" t="str">
        <f t="shared" ca="1" si="371"/>
        <v/>
      </c>
      <c r="AA775" s="369" t="str">
        <f t="shared" ca="1" si="372"/>
        <v/>
      </c>
      <c r="AB775" s="344"/>
      <c r="AC775" s="363" t="e">
        <f t="shared" ca="1" si="373"/>
        <v>#N/A</v>
      </c>
      <c r="AD775" s="376" t="e">
        <f t="shared" ca="1" si="374"/>
        <v>#N/A</v>
      </c>
      <c r="AE775" s="377" t="e">
        <f t="shared" ca="1" si="353"/>
        <v>#N/A</v>
      </c>
      <c r="AF775" s="344"/>
      <c r="AG775" s="359">
        <f t="shared" ca="1" si="375"/>
        <v>7.2611967517922018</v>
      </c>
      <c r="AH775" s="357">
        <f t="shared" ca="1" si="376"/>
        <v>-1.8759690863059006</v>
      </c>
    </row>
    <row r="776" spans="1:34" x14ac:dyDescent="0.25">
      <c r="A776" s="402">
        <f t="shared" ca="1" si="354"/>
        <v>0.1</v>
      </c>
      <c r="B776" s="357">
        <f t="shared" ca="1" si="355"/>
        <v>32.200000000000124</v>
      </c>
      <c r="C776" s="342"/>
      <c r="D776" s="359">
        <f t="shared" ca="1" si="356"/>
        <v>-0.68731104811588029</v>
      </c>
      <c r="E776" s="360">
        <f t="shared" ca="1" si="357"/>
        <v>-8.0312959492493281</v>
      </c>
      <c r="F776" s="357">
        <f t="shared" ca="1" si="358"/>
        <v>8.0606520270565465</v>
      </c>
      <c r="G776" s="359">
        <f t="shared" ca="1" si="359"/>
        <v>33.960311038847024</v>
      </c>
      <c r="H776" s="360">
        <f t="shared" ca="1" si="360"/>
        <v>-88.867471452974058</v>
      </c>
      <c r="I776" s="357">
        <f t="shared" ca="1" si="361"/>
        <v>95.135325764409899</v>
      </c>
      <c r="J776" s="359">
        <f t="shared" ca="1" si="362"/>
        <v>1322.6210607766548</v>
      </c>
      <c r="K776" s="360">
        <f t="shared" ca="1" si="363"/>
        <v>2046.8005628090509</v>
      </c>
      <c r="L776" s="357">
        <f t="shared" ca="1" si="348"/>
        <v>2436.9487098265754</v>
      </c>
      <c r="M776" s="359">
        <f t="shared" ca="1" si="364"/>
        <v>-1.2057758061225992</v>
      </c>
      <c r="N776" s="357">
        <f t="shared" ca="1" si="365"/>
        <v>-69.085864729809543</v>
      </c>
      <c r="O776" s="343"/>
      <c r="P776" s="363">
        <f t="shared" ca="1" si="366"/>
        <v>23</v>
      </c>
      <c r="Q776" s="357">
        <f t="shared" ca="1" si="367"/>
        <v>0</v>
      </c>
      <c r="R776" s="359">
        <f t="shared" ca="1" si="368"/>
        <v>0</v>
      </c>
      <c r="S776" s="360">
        <f t="shared" ca="1" si="369"/>
        <v>10.637999999999975</v>
      </c>
      <c r="T776" s="357">
        <f t="shared" ca="1" si="349"/>
        <v>104.35877999999975</v>
      </c>
      <c r="U776" s="364">
        <f t="shared" ca="1" si="350"/>
        <v>0</v>
      </c>
      <c r="V776" s="359">
        <f t="shared" ca="1" si="351"/>
        <v>0.99754471166480951</v>
      </c>
      <c r="W776" s="357">
        <f t="shared" ca="1" si="352"/>
        <v>20.616556691412246</v>
      </c>
      <c r="X776" s="343"/>
      <c r="Y776" s="367" t="str">
        <f t="shared" ca="1" si="370"/>
        <v/>
      </c>
      <c r="Z776" s="368" t="str">
        <f t="shared" ca="1" si="371"/>
        <v/>
      </c>
      <c r="AA776" s="369" t="str">
        <f t="shared" ca="1" si="372"/>
        <v/>
      </c>
      <c r="AB776" s="344"/>
      <c r="AC776" s="363" t="e">
        <f t="shared" ca="1" si="373"/>
        <v>#N/A</v>
      </c>
      <c r="AD776" s="376" t="e">
        <f t="shared" ca="1" si="374"/>
        <v>#N/A</v>
      </c>
      <c r="AE776" s="377" t="e">
        <f t="shared" ca="1" si="353"/>
        <v>#N/A</v>
      </c>
      <c r="AF776" s="344"/>
      <c r="AG776" s="359">
        <f t="shared" ca="1" si="375"/>
        <v>7.2437253500951764</v>
      </c>
      <c r="AH776" s="357">
        <f t="shared" ca="1" si="376"/>
        <v>-1.906878228156953</v>
      </c>
    </row>
    <row r="777" spans="1:34" x14ac:dyDescent="0.25">
      <c r="A777" s="402">
        <f t="shared" ca="1" si="354"/>
        <v>0.1</v>
      </c>
      <c r="B777" s="357">
        <f t="shared" ca="1" si="355"/>
        <v>32.300000000000125</v>
      </c>
      <c r="C777" s="342"/>
      <c r="D777" s="359">
        <f t="shared" ca="1" si="356"/>
        <v>-0.69180866324745272</v>
      </c>
      <c r="E777" s="360">
        <f t="shared" ca="1" si="357"/>
        <v>-7.9996724514172639</v>
      </c>
      <c r="F777" s="357">
        <f t="shared" ca="1" si="358"/>
        <v>8.0295304069732829</v>
      </c>
      <c r="G777" s="359">
        <f t="shared" ca="1" si="359"/>
        <v>33.891130172522281</v>
      </c>
      <c r="H777" s="360">
        <f t="shared" ca="1" si="360"/>
        <v>-89.667438698115788</v>
      </c>
      <c r="I777" s="357">
        <f t="shared" ca="1" si="361"/>
        <v>95.858532573011999</v>
      </c>
      <c r="J777" s="359">
        <f t="shared" ca="1" si="362"/>
        <v>1326.0136328372232</v>
      </c>
      <c r="K777" s="360">
        <f t="shared" ca="1" si="363"/>
        <v>2037.8738173014965</v>
      </c>
      <c r="L777" s="357">
        <f t="shared" ca="1" si="348"/>
        <v>2431.3045571694929</v>
      </c>
      <c r="M777" s="359">
        <f t="shared" ca="1" si="364"/>
        <v>-1.2094289690905307</v>
      </c>
      <c r="N777" s="357">
        <f t="shared" ca="1" si="365"/>
        <v>-69.295175549745494</v>
      </c>
      <c r="O777" s="343"/>
      <c r="P777" s="363">
        <f t="shared" ca="1" si="366"/>
        <v>23</v>
      </c>
      <c r="Q777" s="357">
        <f t="shared" ca="1" si="367"/>
        <v>0</v>
      </c>
      <c r="R777" s="359">
        <f t="shared" ca="1" si="368"/>
        <v>0</v>
      </c>
      <c r="S777" s="360">
        <f t="shared" ca="1" si="369"/>
        <v>10.637999999999975</v>
      </c>
      <c r="T777" s="357">
        <f t="shared" ca="1" si="349"/>
        <v>104.35877999999975</v>
      </c>
      <c r="U777" s="364">
        <f t="shared" ca="1" si="350"/>
        <v>0</v>
      </c>
      <c r="V777" s="359">
        <f t="shared" ca="1" si="351"/>
        <v>0.99844498413141258</v>
      </c>
      <c r="W777" s="357">
        <f t="shared" ca="1" si="352"/>
        <v>20.950087206289432</v>
      </c>
      <c r="X777" s="343"/>
      <c r="Y777" s="367" t="str">
        <f t="shared" ca="1" si="370"/>
        <v/>
      </c>
      <c r="Z777" s="368" t="str">
        <f t="shared" ca="1" si="371"/>
        <v/>
      </c>
      <c r="AA777" s="369" t="str">
        <f t="shared" ca="1" si="372"/>
        <v/>
      </c>
      <c r="AB777" s="344"/>
      <c r="AC777" s="363" t="e">
        <f t="shared" ca="1" si="373"/>
        <v>#N/A</v>
      </c>
      <c r="AD777" s="376" t="e">
        <f t="shared" ca="1" si="374"/>
        <v>#N/A</v>
      </c>
      <c r="AE777" s="377" t="e">
        <f t="shared" ca="1" si="353"/>
        <v>#N/A</v>
      </c>
      <c r="AF777" s="344"/>
      <c r="AG777" s="359">
        <f t="shared" ca="1" si="375"/>
        <v>7.2256716451311771</v>
      </c>
      <c r="AH777" s="357">
        <f t="shared" ca="1" si="376"/>
        <v>-1.9380105932893676</v>
      </c>
    </row>
    <row r="778" spans="1:34" x14ac:dyDescent="0.25">
      <c r="A778" s="402">
        <f t="shared" ca="1" si="354"/>
        <v>0.1</v>
      </c>
      <c r="B778" s="357">
        <f t="shared" ca="1" si="355"/>
        <v>32.400000000000126</v>
      </c>
      <c r="C778" s="342"/>
      <c r="D778" s="359">
        <f t="shared" ca="1" si="356"/>
        <v>-0.69627551670838073</v>
      </c>
      <c r="E778" s="360">
        <f t="shared" ca="1" si="357"/>
        <v>-7.9678294411065034</v>
      </c>
      <c r="F778" s="357">
        <f t="shared" ca="1" si="358"/>
        <v>7.9981938959824612</v>
      </c>
      <c r="G778" s="359">
        <f t="shared" ca="1" si="359"/>
        <v>33.82150262085144</v>
      </c>
      <c r="H778" s="360">
        <f t="shared" ca="1" si="360"/>
        <v>-90.464221642226434</v>
      </c>
      <c r="I778" s="357">
        <f t="shared" ca="1" si="361"/>
        <v>96.57986041026426</v>
      </c>
      <c r="J778" s="359">
        <f t="shared" ca="1" si="362"/>
        <v>1329.3992644768919</v>
      </c>
      <c r="K778" s="360">
        <f t="shared" ca="1" si="363"/>
        <v>2028.8672342844793</v>
      </c>
      <c r="L778" s="357">
        <f t="shared" ca="1" si="348"/>
        <v>2425.6142848245377</v>
      </c>
      <c r="M778" s="359">
        <f t="shared" ca="1" si="364"/>
        <v>-1.2130201612370795</v>
      </c>
      <c r="N778" s="357">
        <f t="shared" ca="1" si="365"/>
        <v>-69.500935703163279</v>
      </c>
      <c r="O778" s="343"/>
      <c r="P778" s="363">
        <f t="shared" ca="1" si="366"/>
        <v>23</v>
      </c>
      <c r="Q778" s="357">
        <f t="shared" ca="1" si="367"/>
        <v>0</v>
      </c>
      <c r="R778" s="359">
        <f t="shared" ca="1" si="368"/>
        <v>0</v>
      </c>
      <c r="S778" s="360">
        <f t="shared" ca="1" si="369"/>
        <v>10.637999999999975</v>
      </c>
      <c r="T778" s="357">
        <f t="shared" ca="1" si="349"/>
        <v>104.35877999999975</v>
      </c>
      <c r="U778" s="364">
        <f t="shared" ca="1" si="350"/>
        <v>0</v>
      </c>
      <c r="V778" s="359">
        <f t="shared" ca="1" si="351"/>
        <v>0.99935404775326708</v>
      </c>
      <c r="W778" s="357">
        <f t="shared" ca="1" si="352"/>
        <v>21.285931748206043</v>
      </c>
      <c r="X778" s="343"/>
      <c r="Y778" s="367" t="str">
        <f t="shared" ca="1" si="370"/>
        <v/>
      </c>
      <c r="Z778" s="368" t="str">
        <f t="shared" ca="1" si="371"/>
        <v/>
      </c>
      <c r="AA778" s="369" t="str">
        <f t="shared" ca="1" si="372"/>
        <v/>
      </c>
      <c r="AB778" s="344"/>
      <c r="AC778" s="363" t="e">
        <f t="shared" ca="1" si="373"/>
        <v>#N/A</v>
      </c>
      <c r="AD778" s="376" t="e">
        <f t="shared" ca="1" si="374"/>
        <v>#N/A</v>
      </c>
      <c r="AE778" s="377" t="e">
        <f t="shared" ca="1" si="353"/>
        <v>#N/A</v>
      </c>
      <c r="AF778" s="344"/>
      <c r="AG778" s="359">
        <f t="shared" ca="1" si="375"/>
        <v>7.2070505906039646</v>
      </c>
      <c r="AH778" s="357">
        <f t="shared" ca="1" si="376"/>
        <v>-1.969363339564719</v>
      </c>
    </row>
    <row r="779" spans="1:34" x14ac:dyDescent="0.25">
      <c r="A779" s="402">
        <f t="shared" ca="1" si="354"/>
        <v>0.1</v>
      </c>
      <c r="B779" s="357">
        <f t="shared" ca="1" si="355"/>
        <v>32.500000000000128</v>
      </c>
      <c r="C779" s="342"/>
      <c r="D779" s="359">
        <f t="shared" ca="1" si="356"/>
        <v>-0.70071111164654309</v>
      </c>
      <c r="E779" s="360">
        <f t="shared" ca="1" si="357"/>
        <v>-7.9357696909041726</v>
      </c>
      <c r="F779" s="357">
        <f t="shared" ca="1" si="358"/>
        <v>7.9666452568856263</v>
      </c>
      <c r="G779" s="359">
        <f t="shared" ca="1" si="359"/>
        <v>33.751431509686789</v>
      </c>
      <c r="H779" s="360">
        <f t="shared" ca="1" si="360"/>
        <v>-91.257798611316858</v>
      </c>
      <c r="I779" s="357">
        <f t="shared" ca="1" si="361"/>
        <v>97.299254551803969</v>
      </c>
      <c r="J779" s="359">
        <f t="shared" ca="1" si="362"/>
        <v>1332.7779111834188</v>
      </c>
      <c r="K779" s="360">
        <f t="shared" ca="1" si="363"/>
        <v>2019.7811332718022</v>
      </c>
      <c r="L779" s="357">
        <f t="shared" ca="1" si="348"/>
        <v>2419.8786719294753</v>
      </c>
      <c r="M779" s="359">
        <f t="shared" ca="1" si="364"/>
        <v>-1.2165509092379219</v>
      </c>
      <c r="N779" s="357">
        <f t="shared" ca="1" si="365"/>
        <v>-69.70323266213579</v>
      </c>
      <c r="O779" s="343"/>
      <c r="P779" s="363">
        <f t="shared" ca="1" si="366"/>
        <v>23</v>
      </c>
      <c r="Q779" s="357">
        <f t="shared" ca="1" si="367"/>
        <v>0</v>
      </c>
      <c r="R779" s="359">
        <f t="shared" ca="1" si="368"/>
        <v>0</v>
      </c>
      <c r="S779" s="360">
        <f t="shared" ca="1" si="369"/>
        <v>10.637999999999975</v>
      </c>
      <c r="T779" s="357">
        <f t="shared" ca="1" si="349"/>
        <v>104.35877999999975</v>
      </c>
      <c r="U779" s="364">
        <f t="shared" ca="1" si="350"/>
        <v>0</v>
      </c>
      <c r="V779" s="359">
        <f t="shared" ca="1" si="351"/>
        <v>1.0002718909163544</v>
      </c>
      <c r="W779" s="357">
        <f t="shared" ca="1" si="352"/>
        <v>21.624059780980762</v>
      </c>
      <c r="X779" s="343"/>
      <c r="Y779" s="367" t="str">
        <f t="shared" ca="1" si="370"/>
        <v/>
      </c>
      <c r="Z779" s="368" t="str">
        <f t="shared" ca="1" si="371"/>
        <v/>
      </c>
      <c r="AA779" s="369" t="str">
        <f t="shared" ca="1" si="372"/>
        <v/>
      </c>
      <c r="AB779" s="344"/>
      <c r="AC779" s="363" t="e">
        <f t="shared" ca="1" si="373"/>
        <v>#N/A</v>
      </c>
      <c r="AD779" s="376" t="e">
        <f t="shared" ca="1" si="374"/>
        <v>#N/A</v>
      </c>
      <c r="AE779" s="377" t="e">
        <f t="shared" ca="1" si="353"/>
        <v>#N/A</v>
      </c>
      <c r="AF779" s="344"/>
      <c r="AG779" s="359">
        <f t="shared" ca="1" si="375"/>
        <v>7.1878766708884818</v>
      </c>
      <c r="AH779" s="357">
        <f t="shared" ca="1" si="376"/>
        <v>-2.0009336104724658</v>
      </c>
    </row>
    <row r="780" spans="1:34" x14ac:dyDescent="0.25">
      <c r="A780" s="402">
        <f t="shared" ca="1" si="354"/>
        <v>0.1</v>
      </c>
      <c r="B780" s="357">
        <f t="shared" ca="1" si="355"/>
        <v>32.600000000000129</v>
      </c>
      <c r="C780" s="342"/>
      <c r="D780" s="359">
        <f t="shared" ca="1" si="356"/>
        <v>-0.70511496461593226</v>
      </c>
      <c r="E780" s="360">
        <f t="shared" ca="1" si="357"/>
        <v>-7.9034959923024708</v>
      </c>
      <c r="F780" s="357">
        <f t="shared" ca="1" si="358"/>
        <v>7.9348872716420198</v>
      </c>
      <c r="G780" s="359">
        <f t="shared" ca="1" si="359"/>
        <v>33.680920013225197</v>
      </c>
      <c r="H780" s="360">
        <f t="shared" ca="1" si="360"/>
        <v>-92.048148210547112</v>
      </c>
      <c r="I780" s="357">
        <f t="shared" ca="1" si="361"/>
        <v>98.016661654680533</v>
      </c>
      <c r="J780" s="359">
        <f t="shared" ca="1" si="362"/>
        <v>1336.1495287595644</v>
      </c>
      <c r="K780" s="360">
        <f t="shared" ca="1" si="363"/>
        <v>2010.615835930709</v>
      </c>
      <c r="L780" s="357">
        <f t="shared" ca="1" si="348"/>
        <v>2414.0985072899884</v>
      </c>
      <c r="M780" s="359">
        <f t="shared" ca="1" si="364"/>
        <v>-1.2200226929190652</v>
      </c>
      <c r="N780" s="357">
        <f t="shared" ca="1" si="365"/>
        <v>-69.902151214447699</v>
      </c>
      <c r="O780" s="343"/>
      <c r="P780" s="363">
        <f t="shared" ca="1" si="366"/>
        <v>23</v>
      </c>
      <c r="Q780" s="357">
        <f t="shared" ca="1" si="367"/>
        <v>0</v>
      </c>
      <c r="R780" s="359">
        <f t="shared" ca="1" si="368"/>
        <v>0</v>
      </c>
      <c r="S780" s="360">
        <f t="shared" ca="1" si="369"/>
        <v>10.637999999999975</v>
      </c>
      <c r="T780" s="357">
        <f t="shared" ca="1" si="349"/>
        <v>104.35877999999975</v>
      </c>
      <c r="U780" s="364">
        <f t="shared" ca="1" si="350"/>
        <v>0</v>
      </c>
      <c r="V780" s="359">
        <f t="shared" ca="1" si="351"/>
        <v>1.0011985019070258</v>
      </c>
      <c r="W780" s="357">
        <f t="shared" ca="1" si="352"/>
        <v>21.964440624109642</v>
      </c>
      <c r="X780" s="343"/>
      <c r="Y780" s="367" t="str">
        <f t="shared" ca="1" si="370"/>
        <v/>
      </c>
      <c r="Z780" s="368" t="str">
        <f t="shared" ca="1" si="371"/>
        <v/>
      </c>
      <c r="AA780" s="369" t="str">
        <f t="shared" ca="1" si="372"/>
        <v/>
      </c>
      <c r="AB780" s="344"/>
      <c r="AC780" s="363" t="e">
        <f t="shared" ca="1" si="373"/>
        <v>#N/A</v>
      </c>
      <c r="AD780" s="376" t="e">
        <f t="shared" ca="1" si="374"/>
        <v>#N/A</v>
      </c>
      <c r="AE780" s="377" t="e">
        <f t="shared" ca="1" si="353"/>
        <v>#N/A</v>
      </c>
      <c r="AF780" s="344"/>
      <c r="AG780" s="359">
        <f t="shared" ca="1" si="375"/>
        <v>7.1681639224158662</v>
      </c>
      <c r="AH780" s="357">
        <f t="shared" ca="1" si="376"/>
        <v>-2.0327185355311914</v>
      </c>
    </row>
    <row r="781" spans="1:34" x14ac:dyDescent="0.25">
      <c r="A781" s="402">
        <f t="shared" ca="1" si="354"/>
        <v>0.1</v>
      </c>
      <c r="B781" s="357">
        <f t="shared" ca="1" si="355"/>
        <v>32.700000000000131</v>
      </c>
      <c r="C781" s="342"/>
      <c r="D781" s="359">
        <f t="shared" ca="1" si="356"/>
        <v>-0.70948660524728513</v>
      </c>
      <c r="E781" s="360">
        <f t="shared" ca="1" si="357"/>
        <v>-7.8710111550528756</v>
      </c>
      <c r="F781" s="357">
        <f t="shared" ca="1" si="358"/>
        <v>7.9029227407328317</v>
      </c>
      <c r="G781" s="359">
        <f t="shared" ca="1" si="359"/>
        <v>33.60997135270047</v>
      </c>
      <c r="H781" s="360">
        <f t="shared" ca="1" si="360"/>
        <v>-92.835249326052406</v>
      </c>
      <c r="I781" s="357">
        <f t="shared" ca="1" si="361"/>
        <v>98.732029715587529</v>
      </c>
      <c r="J781" s="359">
        <f t="shared" ca="1" si="362"/>
        <v>1339.5140733278606</v>
      </c>
      <c r="K781" s="360">
        <f t="shared" ca="1" si="363"/>
        <v>2001.3716660538789</v>
      </c>
      <c r="L781" s="357">
        <f t="shared" ca="1" si="348"/>
        <v>2408.2745894782588</v>
      </c>
      <c r="M781" s="359">
        <f t="shared" ca="1" si="364"/>
        <v>-1.2234369469048341</v>
      </c>
      <c r="N781" s="357">
        <f t="shared" ca="1" si="365"/>
        <v>-70.097773558017977</v>
      </c>
      <c r="O781" s="343"/>
      <c r="P781" s="363">
        <f t="shared" ca="1" si="366"/>
        <v>23</v>
      </c>
      <c r="Q781" s="357">
        <f t="shared" ca="1" si="367"/>
        <v>0</v>
      </c>
      <c r="R781" s="359">
        <f t="shared" ca="1" si="368"/>
        <v>0</v>
      </c>
      <c r="S781" s="360">
        <f t="shared" ca="1" si="369"/>
        <v>10.637999999999975</v>
      </c>
      <c r="T781" s="357">
        <f t="shared" ca="1" si="349"/>
        <v>104.35877999999975</v>
      </c>
      <c r="U781" s="364">
        <f t="shared" ca="1" si="350"/>
        <v>0</v>
      </c>
      <c r="V781" s="359">
        <f t="shared" ca="1" si="351"/>
        <v>1.0021338689124806</v>
      </c>
      <c r="W781" s="357">
        <f t="shared" ca="1" si="352"/>
        <v>22.307043457095737</v>
      </c>
      <c r="X781" s="343"/>
      <c r="Y781" s="367" t="str">
        <f t="shared" ca="1" si="370"/>
        <v/>
      </c>
      <c r="Z781" s="368" t="str">
        <f t="shared" ca="1" si="371"/>
        <v/>
      </c>
      <c r="AA781" s="369" t="str">
        <f t="shared" ca="1" si="372"/>
        <v/>
      </c>
      <c r="AB781" s="344"/>
      <c r="AC781" s="363" t="e">
        <f t="shared" ca="1" si="373"/>
        <v>#N/A</v>
      </c>
      <c r="AD781" s="376" t="e">
        <f t="shared" ca="1" si="374"/>
        <v>#N/A</v>
      </c>
      <c r="AE781" s="377" t="e">
        <f t="shared" ca="1" si="353"/>
        <v>#N/A</v>
      </c>
      <c r="AF781" s="344"/>
      <c r="AG781" s="359">
        <f t="shared" ca="1" si="375"/>
        <v>7.1479259539944966</v>
      </c>
      <c r="AH781" s="357">
        <f t="shared" ca="1" si="376"/>
        <v>-2.0647152306927707</v>
      </c>
    </row>
    <row r="782" spans="1:34" x14ac:dyDescent="0.25">
      <c r="A782" s="402">
        <f t="shared" ca="1" si="354"/>
        <v>0.1</v>
      </c>
      <c r="B782" s="357">
        <f t="shared" ca="1" si="355"/>
        <v>32.800000000000132</v>
      </c>
      <c r="C782" s="342"/>
      <c r="D782" s="359">
        <f t="shared" ca="1" si="356"/>
        <v>-0.7138255759338582</v>
      </c>
      <c r="E782" s="360">
        <f t="shared" ca="1" si="357"/>
        <v>-7.8383180065308746</v>
      </c>
      <c r="F782" s="357">
        <f t="shared" ca="1" si="358"/>
        <v>7.870754482536185</v>
      </c>
      <c r="G782" s="359">
        <f t="shared" ca="1" si="359"/>
        <v>33.538588795107081</v>
      </c>
      <c r="H782" s="360">
        <f t="shared" ca="1" si="360"/>
        <v>-93.619081126705495</v>
      </c>
      <c r="I782" s="357">
        <f t="shared" ca="1" si="361"/>
        <v>99.445308030977245</v>
      </c>
      <c r="J782" s="359">
        <f t="shared" ca="1" si="362"/>
        <v>1342.871501335251</v>
      </c>
      <c r="K782" s="360">
        <f t="shared" ca="1" si="363"/>
        <v>1992.0489495312411</v>
      </c>
      <c r="L782" s="357">
        <f t="shared" ca="1" si="348"/>
        <v>2402.4077269329018</v>
      </c>
      <c r="M782" s="359">
        <f t="shared" ca="1" si="364"/>
        <v>-1.2267950622041586</v>
      </c>
      <c r="N782" s="357">
        <f t="shared" ca="1" si="365"/>
        <v>-70.290179391787589</v>
      </c>
      <c r="O782" s="343"/>
      <c r="P782" s="363">
        <f t="shared" ca="1" si="366"/>
        <v>23</v>
      </c>
      <c r="Q782" s="357">
        <f t="shared" ca="1" si="367"/>
        <v>0</v>
      </c>
      <c r="R782" s="359">
        <f t="shared" ca="1" si="368"/>
        <v>0</v>
      </c>
      <c r="S782" s="360">
        <f t="shared" ca="1" si="369"/>
        <v>10.637999999999975</v>
      </c>
      <c r="T782" s="357">
        <f t="shared" ca="1" si="349"/>
        <v>104.35877999999975</v>
      </c>
      <c r="U782" s="364">
        <f t="shared" ca="1" si="350"/>
        <v>0</v>
      </c>
      <c r="V782" s="359">
        <f t="shared" ca="1" si="351"/>
        <v>1.0030779800212493</v>
      </c>
      <c r="W782" s="357">
        <f t="shared" ca="1" si="352"/>
        <v>22.651837323807115</v>
      </c>
      <c r="X782" s="343"/>
      <c r="Y782" s="367" t="str">
        <f t="shared" ca="1" si="370"/>
        <v/>
      </c>
      <c r="Z782" s="368" t="str">
        <f t="shared" ca="1" si="371"/>
        <v/>
      </c>
      <c r="AA782" s="369" t="str">
        <f t="shared" ca="1" si="372"/>
        <v/>
      </c>
      <c r="AB782" s="344"/>
      <c r="AC782" s="363" t="e">
        <f t="shared" ca="1" si="373"/>
        <v>#N/A</v>
      </c>
      <c r="AD782" s="376" t="e">
        <f t="shared" ca="1" si="374"/>
        <v>#N/A</v>
      </c>
      <c r="AE782" s="377" t="e">
        <f t="shared" ca="1" si="353"/>
        <v>#N/A</v>
      </c>
      <c r="AF782" s="344"/>
      <c r="AG782" s="359">
        <f t="shared" ca="1" si="375"/>
        <v>7.1271759661203706</v>
      </c>
      <c r="AH782" s="357">
        <f t="shared" ca="1" si="376"/>
        <v>-2.0969207987493692</v>
      </c>
    </row>
    <row r="783" spans="1:34" x14ac:dyDescent="0.25">
      <c r="A783" s="402">
        <f t="shared" ca="1" si="354"/>
        <v>0.1</v>
      </c>
      <c r="B783" s="357">
        <f t="shared" ca="1" si="355"/>
        <v>32.900000000000134</v>
      </c>
      <c r="C783" s="342"/>
      <c r="D783" s="359">
        <f t="shared" ca="1" si="356"/>
        <v>-0.7181314315315479</v>
      </c>
      <c r="E783" s="360">
        <f t="shared" ca="1" si="357"/>
        <v>-7.8054193911105356</v>
      </c>
      <c r="F783" s="357">
        <f t="shared" ca="1" si="358"/>
        <v>7.8383853327122104</v>
      </c>
      <c r="G783" s="359">
        <f t="shared" ca="1" si="359"/>
        <v>33.466775651953924</v>
      </c>
      <c r="H783" s="360">
        <f t="shared" ca="1" si="360"/>
        <v>-94.399623065816556</v>
      </c>
      <c r="I783" s="357">
        <f t="shared" ca="1" si="361"/>
        <v>100.15644715896457</v>
      </c>
      <c r="J783" s="359">
        <f t="shared" ca="1" si="362"/>
        <v>1346.2217695576039</v>
      </c>
      <c r="K783" s="360">
        <f t="shared" ca="1" si="363"/>
        <v>1982.6480143216149</v>
      </c>
      <c r="L783" s="357">
        <f t="shared" ca="1" si="348"/>
        <v>2396.4987380602247</v>
      </c>
      <c r="M783" s="359">
        <f t="shared" ca="1" si="364"/>
        <v>-1.2300983877373526</v>
      </c>
      <c r="N783" s="357">
        <f t="shared" ca="1" si="365"/>
        <v>-70.479446003197395</v>
      </c>
      <c r="O783" s="343"/>
      <c r="P783" s="363">
        <f t="shared" ca="1" si="366"/>
        <v>23</v>
      </c>
      <c r="Q783" s="357">
        <f t="shared" ca="1" si="367"/>
        <v>0</v>
      </c>
      <c r="R783" s="359">
        <f t="shared" ca="1" si="368"/>
        <v>0</v>
      </c>
      <c r="S783" s="360">
        <f t="shared" ca="1" si="369"/>
        <v>10.637999999999975</v>
      </c>
      <c r="T783" s="357">
        <f t="shared" ca="1" si="349"/>
        <v>104.35877999999975</v>
      </c>
      <c r="U783" s="364">
        <f t="shared" ca="1" si="350"/>
        <v>0</v>
      </c>
      <c r="V783" s="359">
        <f t="shared" ca="1" si="351"/>
        <v>1.0040308232236936</v>
      </c>
      <c r="W783" s="357">
        <f t="shared" ca="1" si="352"/>
        <v>22.998791136862462</v>
      </c>
      <c r="X783" s="343"/>
      <c r="Y783" s="367" t="str">
        <f t="shared" ca="1" si="370"/>
        <v/>
      </c>
      <c r="Z783" s="368" t="str">
        <f t="shared" ca="1" si="371"/>
        <v/>
      </c>
      <c r="AA783" s="369" t="str">
        <f t="shared" ca="1" si="372"/>
        <v/>
      </c>
      <c r="AB783" s="344"/>
      <c r="AC783" s="363" t="e">
        <f t="shared" ca="1" si="373"/>
        <v>#N/A</v>
      </c>
      <c r="AD783" s="376" t="e">
        <f t="shared" ca="1" si="374"/>
        <v>#N/A</v>
      </c>
      <c r="AE783" s="377" t="e">
        <f t="shared" ca="1" si="353"/>
        <v>#N/A</v>
      </c>
      <c r="AF783" s="344"/>
      <c r="AG783" s="359">
        <f t="shared" ca="1" si="375"/>
        <v>7.1059267693276897</v>
      </c>
      <c r="AH783" s="357">
        <f t="shared" ca="1" si="376"/>
        <v>-2.1293323297431068</v>
      </c>
    </row>
    <row r="784" spans="1:34" x14ac:dyDescent="0.25">
      <c r="A784" s="402">
        <f t="shared" ca="1" si="354"/>
        <v>0.1</v>
      </c>
      <c r="B784" s="357">
        <f t="shared" ca="1" si="355"/>
        <v>33.000000000000135</v>
      </c>
      <c r="C784" s="342"/>
      <c r="D784" s="359">
        <f t="shared" ca="1" si="356"/>
        <v>-0.72240373907261712</v>
      </c>
      <c r="E784" s="360">
        <f t="shared" ca="1" si="357"/>
        <v>-7.7723181695482495</v>
      </c>
      <c r="F784" s="357">
        <f t="shared" ca="1" si="358"/>
        <v>7.8058181435975023</v>
      </c>
      <c r="G784" s="359">
        <f t="shared" ca="1" si="359"/>
        <v>33.394535278046661</v>
      </c>
      <c r="H784" s="360">
        <f t="shared" ca="1" si="360"/>
        <v>-95.17685488277138</v>
      </c>
      <c r="I784" s="357">
        <f t="shared" ca="1" si="361"/>
        <v>100.86539888293123</v>
      </c>
      <c r="J784" s="359">
        <f t="shared" ca="1" si="362"/>
        <v>1349.5648351041038</v>
      </c>
      <c r="K784" s="360">
        <f t="shared" ca="1" si="363"/>
        <v>1973.1691904241854</v>
      </c>
      <c r="L784" s="357">
        <f t="shared" ca="1" si="348"/>
        <v>2390.548451336806</v>
      </c>
      <c r="M784" s="359">
        <f t="shared" ca="1" si="364"/>
        <v>-1.2333482318055133</v>
      </c>
      <c r="N784" s="357">
        <f t="shared" ca="1" si="365"/>
        <v>-70.665648352378639</v>
      </c>
      <c r="O784" s="343"/>
      <c r="P784" s="363">
        <f t="shared" ca="1" si="366"/>
        <v>23</v>
      </c>
      <c r="Q784" s="357">
        <f t="shared" ca="1" si="367"/>
        <v>0</v>
      </c>
      <c r="R784" s="359">
        <f t="shared" ca="1" si="368"/>
        <v>0</v>
      </c>
      <c r="S784" s="360">
        <f t="shared" ca="1" si="369"/>
        <v>10.637999999999975</v>
      </c>
      <c r="T784" s="357">
        <f t="shared" ca="1" si="349"/>
        <v>104.35877999999975</v>
      </c>
      <c r="U784" s="364">
        <f t="shared" ca="1" si="350"/>
        <v>0</v>
      </c>
      <c r="V784" s="359">
        <f t="shared" ca="1" si="351"/>
        <v>1.0049923864125159</v>
      </c>
      <c r="W784" s="357">
        <f t="shared" ca="1" si="352"/>
        <v>23.347873682042675</v>
      </c>
      <c r="X784" s="343"/>
      <c r="Y784" s="367" t="str">
        <f t="shared" ca="1" si="370"/>
        <v/>
      </c>
      <c r="Z784" s="368" t="str">
        <f t="shared" ca="1" si="371"/>
        <v/>
      </c>
      <c r="AA784" s="369" t="str">
        <f t="shared" ca="1" si="372"/>
        <v/>
      </c>
      <c r="AB784" s="344"/>
      <c r="AC784" s="363">
        <f t="shared" ca="1" si="373"/>
        <v>33.000000000000135</v>
      </c>
      <c r="AD784" s="376">
        <f t="shared" ca="1" si="374"/>
        <v>1349.5648351041038</v>
      </c>
      <c r="AE784" s="377" t="e">
        <f t="shared" ca="1" si="353"/>
        <v>#N/A</v>
      </c>
      <c r="AF784" s="344"/>
      <c r="AG784" s="359">
        <f t="shared" ca="1" si="375"/>
        <v>7.0841908016279849</v>
      </c>
      <c r="AH784" s="357">
        <f t="shared" ca="1" si="376"/>
        <v>-2.161946901378315</v>
      </c>
    </row>
    <row r="785" spans="1:34" x14ac:dyDescent="0.25">
      <c r="A785" s="402">
        <f t="shared" ca="1" si="354"/>
        <v>0.1</v>
      </c>
      <c r="B785" s="357">
        <f t="shared" ca="1" si="355"/>
        <v>33.100000000000136</v>
      </c>
      <c r="C785" s="342"/>
      <c r="D785" s="359">
        <f t="shared" ca="1" si="356"/>
        <v>-0.72664207749232257</v>
      </c>
      <c r="E785" s="360">
        <f t="shared" ca="1" si="357"/>
        <v>-7.7390172183750288</v>
      </c>
      <c r="F785" s="357">
        <f t="shared" ca="1" si="358"/>
        <v>7.7730557836083696</v>
      </c>
      <c r="G785" s="359">
        <f t="shared" ca="1" si="359"/>
        <v>33.321871070297426</v>
      </c>
      <c r="H785" s="360">
        <f t="shared" ca="1" si="360"/>
        <v>-95.950756604608884</v>
      </c>
      <c r="I785" s="357">
        <f t="shared" ca="1" si="361"/>
        <v>101.57211617674616</v>
      </c>
      <c r="J785" s="359">
        <f t="shared" ca="1" si="362"/>
        <v>1352.9006554215212</v>
      </c>
      <c r="K785" s="360">
        <f t="shared" ca="1" si="363"/>
        <v>1963.6128098498164</v>
      </c>
      <c r="L785" s="357">
        <f t="shared" ca="1" si="348"/>
        <v>2384.5577054133691</v>
      </c>
      <c r="M785" s="359">
        <f t="shared" ca="1" si="364"/>
        <v>-1.2365458635046336</v>
      </c>
      <c r="N785" s="357">
        <f t="shared" ca="1" si="365"/>
        <v>-70.848859153175482</v>
      </c>
      <c r="O785" s="343"/>
      <c r="P785" s="363">
        <f t="shared" ca="1" si="366"/>
        <v>23</v>
      </c>
      <c r="Q785" s="357">
        <f t="shared" ca="1" si="367"/>
        <v>0</v>
      </c>
      <c r="R785" s="359">
        <f t="shared" ca="1" si="368"/>
        <v>0</v>
      </c>
      <c r="S785" s="360">
        <f t="shared" ca="1" si="369"/>
        <v>10.637999999999975</v>
      </c>
      <c r="T785" s="357">
        <f t="shared" ca="1" si="349"/>
        <v>104.35877999999975</v>
      </c>
      <c r="U785" s="364">
        <f t="shared" ca="1" si="350"/>
        <v>0</v>
      </c>
      <c r="V785" s="359">
        <f t="shared" ca="1" si="351"/>
        <v>1.0059626573832803</v>
      </c>
      <c r="W785" s="357">
        <f t="shared" ca="1" si="352"/>
        <v>23.699053622727405</v>
      </c>
      <c r="X785" s="343"/>
      <c r="Y785" s="367" t="str">
        <f t="shared" ca="1" si="370"/>
        <v/>
      </c>
      <c r="Z785" s="368" t="str">
        <f t="shared" ca="1" si="371"/>
        <v/>
      </c>
      <c r="AA785" s="369" t="str">
        <f t="shared" ca="1" si="372"/>
        <v/>
      </c>
      <c r="AB785" s="344"/>
      <c r="AC785" s="363" t="e">
        <f t="shared" ca="1" si="373"/>
        <v>#N/A</v>
      </c>
      <c r="AD785" s="376" t="e">
        <f t="shared" ca="1" si="374"/>
        <v>#N/A</v>
      </c>
      <c r="AE785" s="377" t="e">
        <f t="shared" ca="1" si="353"/>
        <v>#N/A</v>
      </c>
      <c r="AF785" s="344"/>
      <c r="AG785" s="359">
        <f t="shared" ca="1" si="375"/>
        <v>7.0619801450838064</v>
      </c>
      <c r="AH785" s="357">
        <f t="shared" ca="1" si="376"/>
        <v>-2.194761579436241</v>
      </c>
    </row>
    <row r="786" spans="1:34" x14ac:dyDescent="0.25">
      <c r="A786" s="402">
        <f t="shared" ca="1" si="354"/>
        <v>0.1</v>
      </c>
      <c r="B786" s="357">
        <f t="shared" ca="1" si="355"/>
        <v>33.200000000000138</v>
      </c>
      <c r="C786" s="342"/>
      <c r="D786" s="359">
        <f t="shared" ca="1" si="356"/>
        <v>-0.73084603736775977</v>
      </c>
      <c r="E786" s="360">
        <f t="shared" ca="1" si="357"/>
        <v>-7.705519429296837</v>
      </c>
      <c r="F786" s="357">
        <f t="shared" ca="1" si="358"/>
        <v>7.7401011366523633</v>
      </c>
      <c r="G786" s="359">
        <f t="shared" ca="1" si="359"/>
        <v>33.248786466560652</v>
      </c>
      <c r="H786" s="360">
        <f t="shared" ca="1" si="360"/>
        <v>-96.72130854753857</v>
      </c>
      <c r="I786" s="357">
        <f t="shared" ca="1" si="361"/>
        <v>102.2765531715217</v>
      </c>
      <c r="J786" s="359">
        <f t="shared" ca="1" si="362"/>
        <v>1356.2291882983641</v>
      </c>
      <c r="K786" s="360">
        <f t="shared" ca="1" si="363"/>
        <v>1953.979206592209</v>
      </c>
      <c r="L786" s="357">
        <f t="shared" ca="1" si="348"/>
        <v>2378.527349219924</v>
      </c>
      <c r="M786" s="359">
        <f t="shared" ca="1" si="364"/>
        <v>-1.2396925140864565</v>
      </c>
      <c r="N786" s="357">
        <f t="shared" ca="1" si="365"/>
        <v>-71.029148951116312</v>
      </c>
      <c r="O786" s="343"/>
      <c r="P786" s="363">
        <f t="shared" ca="1" si="366"/>
        <v>23</v>
      </c>
      <c r="Q786" s="357">
        <f t="shared" ca="1" si="367"/>
        <v>0</v>
      </c>
      <c r="R786" s="359">
        <f t="shared" ca="1" si="368"/>
        <v>0</v>
      </c>
      <c r="S786" s="360">
        <f t="shared" ca="1" si="369"/>
        <v>10.637999999999975</v>
      </c>
      <c r="T786" s="357">
        <f t="shared" ca="1" si="349"/>
        <v>104.35877999999975</v>
      </c>
      <c r="U786" s="364">
        <f t="shared" ca="1" si="350"/>
        <v>0</v>
      </c>
      <c r="V786" s="359">
        <f t="shared" ca="1" si="351"/>
        <v>1.0069416238349438</v>
      </c>
      <c r="W786" s="357">
        <f t="shared" ca="1" si="352"/>
        <v>24.052299504355119</v>
      </c>
      <c r="X786" s="343"/>
      <c r="Y786" s="367" t="str">
        <f t="shared" ca="1" si="370"/>
        <v/>
      </c>
      <c r="Z786" s="368" t="str">
        <f t="shared" ca="1" si="371"/>
        <v/>
      </c>
      <c r="AA786" s="369" t="str">
        <f t="shared" ca="1" si="372"/>
        <v/>
      </c>
      <c r="AB786" s="344"/>
      <c r="AC786" s="363" t="e">
        <f t="shared" ca="1" si="373"/>
        <v>#N/A</v>
      </c>
      <c r="AD786" s="376" t="e">
        <f t="shared" ca="1" si="374"/>
        <v>#N/A</v>
      </c>
      <c r="AE786" s="377" t="e">
        <f t="shared" ca="1" si="353"/>
        <v>#N/A</v>
      </c>
      <c r="AF786" s="344"/>
      <c r="AG786" s="359">
        <f t="shared" ca="1" si="375"/>
        <v>7.039306541560765</v>
      </c>
      <c r="AH786" s="357">
        <f t="shared" ca="1" si="376"/>
        <v>-2.2277734181920907</v>
      </c>
    </row>
    <row r="787" spans="1:34" x14ac:dyDescent="0.25">
      <c r="A787" s="402">
        <f t="shared" ca="1" si="354"/>
        <v>0.1</v>
      </c>
      <c r="B787" s="357">
        <f t="shared" ca="1" si="355"/>
        <v>33.300000000000139</v>
      </c>
      <c r="C787" s="342"/>
      <c r="D787" s="359">
        <f t="shared" ca="1" si="356"/>
        <v>-0.73501522066829594</v>
      </c>
      <c r="E787" s="360">
        <f t="shared" ca="1" si="357"/>
        <v>-7.6718277086024038</v>
      </c>
      <c r="F787" s="357">
        <f t="shared" ca="1" si="358"/>
        <v>7.7069571015475145</v>
      </c>
      <c r="G787" s="359">
        <f t="shared" ca="1" si="359"/>
        <v>33.175284944493825</v>
      </c>
      <c r="H787" s="360">
        <f t="shared" ca="1" si="360"/>
        <v>-97.488491318398815</v>
      </c>
      <c r="I787" s="357">
        <f t="shared" ca="1" si="361"/>
        <v>102.9786651238298</v>
      </c>
      <c r="J787" s="359">
        <f t="shared" ca="1" si="362"/>
        <v>1359.5503918689169</v>
      </c>
      <c r="K787" s="360">
        <f t="shared" ca="1" si="363"/>
        <v>1944.2687165989121</v>
      </c>
      <c r="L787" s="357">
        <f t="shared" ca="1" si="348"/>
        <v>2372.4582420721563</v>
      </c>
      <c r="M787" s="359">
        <f t="shared" ca="1" si="364"/>
        <v>-1.2427893782680515</v>
      </c>
      <c r="N787" s="357">
        <f t="shared" ca="1" si="365"/>
        <v>-71.206586198446942</v>
      </c>
      <c r="O787" s="343"/>
      <c r="P787" s="363">
        <f t="shared" ca="1" si="366"/>
        <v>23</v>
      </c>
      <c r="Q787" s="357">
        <f t="shared" ca="1" si="367"/>
        <v>0</v>
      </c>
      <c r="R787" s="359">
        <f t="shared" ca="1" si="368"/>
        <v>0</v>
      </c>
      <c r="S787" s="360">
        <f t="shared" ca="1" si="369"/>
        <v>10.637999999999975</v>
      </c>
      <c r="T787" s="357">
        <f t="shared" ca="1" si="349"/>
        <v>104.35877999999975</v>
      </c>
      <c r="U787" s="364">
        <f t="shared" ca="1" si="350"/>
        <v>0</v>
      </c>
      <c r="V787" s="359">
        <f t="shared" ca="1" si="351"/>
        <v>1.0079292733703997</v>
      </c>
      <c r="W787" s="357">
        <f t="shared" ca="1" si="352"/>
        <v>24.407579758905612</v>
      </c>
      <c r="X787" s="343"/>
      <c r="Y787" s="367" t="str">
        <f t="shared" ca="1" si="370"/>
        <v/>
      </c>
      <c r="Z787" s="368" t="str">
        <f t="shared" ca="1" si="371"/>
        <v/>
      </c>
      <c r="AA787" s="369" t="str">
        <f t="shared" ca="1" si="372"/>
        <v/>
      </c>
      <c r="AB787" s="344"/>
      <c r="AC787" s="363" t="e">
        <f t="shared" ca="1" si="373"/>
        <v>#N/A</v>
      </c>
      <c r="AD787" s="376" t="e">
        <f t="shared" ca="1" si="374"/>
        <v>#N/A</v>
      </c>
      <c r="AE787" s="377" t="e">
        <f t="shared" ca="1" si="353"/>
        <v>#N/A</v>
      </c>
      <c r="AF787" s="344"/>
      <c r="AG787" s="359">
        <f t="shared" ca="1" si="375"/>
        <v>7.0161814076994693</v>
      </c>
      <c r="AH787" s="357">
        <f t="shared" ca="1" si="376"/>
        <v>-2.2609794608342897</v>
      </c>
    </row>
    <row r="788" spans="1:34" x14ac:dyDescent="0.25">
      <c r="A788" s="402">
        <f t="shared" ca="1" si="354"/>
        <v>0.1</v>
      </c>
      <c r="B788" s="357">
        <f t="shared" ca="1" si="355"/>
        <v>33.400000000000141</v>
      </c>
      <c r="C788" s="342"/>
      <c r="D788" s="359">
        <f t="shared" ca="1" si="356"/>
        <v>-0.73914924051698594</v>
      </c>
      <c r="E788" s="360">
        <f t="shared" ca="1" si="357"/>
        <v>-7.6379449765780834</v>
      </c>
      <c r="F788" s="357">
        <f t="shared" ca="1" si="358"/>
        <v>7.6736265914488708</v>
      </c>
      <c r="G788" s="359">
        <f t="shared" ca="1" si="359"/>
        <v>33.101370020442126</v>
      </c>
      <c r="H788" s="360">
        <f t="shared" ca="1" si="360"/>
        <v>-98.252285816056627</v>
      </c>
      <c r="I788" s="357">
        <f t="shared" ca="1" si="361"/>
        <v>103.67840838530608</v>
      </c>
      <c r="J788" s="359">
        <f t="shared" ca="1" si="362"/>
        <v>1362.8642246171637</v>
      </c>
      <c r="K788" s="360">
        <f t="shared" ca="1" si="363"/>
        <v>1934.4816777421893</v>
      </c>
      <c r="L788" s="357">
        <f t="shared" ca="1" si="348"/>
        <v>2366.351253779028</v>
      </c>
      <c r="M788" s="359">
        <f t="shared" ca="1" si="364"/>
        <v>-1.2458376154920359</v>
      </c>
      <c r="N788" s="357">
        <f t="shared" ca="1" si="365"/>
        <v>-71.381237326335921</v>
      </c>
      <c r="O788" s="343"/>
      <c r="P788" s="363">
        <f t="shared" ca="1" si="366"/>
        <v>23</v>
      </c>
      <c r="Q788" s="357">
        <f t="shared" ca="1" si="367"/>
        <v>0</v>
      </c>
      <c r="R788" s="359">
        <f t="shared" ca="1" si="368"/>
        <v>0</v>
      </c>
      <c r="S788" s="360">
        <f t="shared" ca="1" si="369"/>
        <v>10.637999999999975</v>
      </c>
      <c r="T788" s="357">
        <f t="shared" ca="1" si="349"/>
        <v>104.35877999999975</v>
      </c>
      <c r="U788" s="364">
        <f t="shared" ca="1" si="350"/>
        <v>0</v>
      </c>
      <c r="V788" s="359">
        <f t="shared" ca="1" si="351"/>
        <v>1.0089255934970325</v>
      </c>
      <c r="W788" s="357">
        <f t="shared" ca="1" si="352"/>
        <v>24.764862709403694</v>
      </c>
      <c r="X788" s="343"/>
      <c r="Y788" s="367" t="str">
        <f t="shared" ca="1" si="370"/>
        <v/>
      </c>
      <c r="Z788" s="368" t="str">
        <f t="shared" ca="1" si="371"/>
        <v/>
      </c>
      <c r="AA788" s="369" t="str">
        <f t="shared" ca="1" si="372"/>
        <v/>
      </c>
      <c r="AB788" s="344"/>
      <c r="AC788" s="363" t="e">
        <f t="shared" ca="1" si="373"/>
        <v>#N/A</v>
      </c>
      <c r="AD788" s="376" t="e">
        <f t="shared" ca="1" si="374"/>
        <v>#N/A</v>
      </c>
      <c r="AE788" s="377" t="e">
        <f t="shared" ca="1" si="353"/>
        <v>#N/A</v>
      </c>
      <c r="AF788" s="344"/>
      <c r="AG788" s="359">
        <f t="shared" ca="1" si="375"/>
        <v>6.9926158491468975</v>
      </c>
      <c r="AH788" s="357">
        <f t="shared" ca="1" si="376"/>
        <v>-2.2943767398858497</v>
      </c>
    </row>
    <row r="789" spans="1:34" x14ac:dyDescent="0.25">
      <c r="A789" s="402">
        <f t="shared" ca="1" si="354"/>
        <v>0.1</v>
      </c>
      <c r="B789" s="357">
        <f t="shared" ca="1" si="355"/>
        <v>33.500000000000142</v>
      </c>
      <c r="C789" s="342"/>
      <c r="D789" s="359">
        <f t="shared" ca="1" si="356"/>
        <v>-0.74324772096238922</v>
      </c>
      <c r="E789" s="360">
        <f t="shared" ca="1" si="357"/>
        <v>-7.6038741669293017</v>
      </c>
      <c r="F789" s="357">
        <f t="shared" ca="1" si="358"/>
        <v>7.6401125332818607</v>
      </c>
      <c r="G789" s="359">
        <f t="shared" ca="1" si="359"/>
        <v>33.027045248345885</v>
      </c>
      <c r="H789" s="360">
        <f t="shared" ca="1" si="360"/>
        <v>-99.012673232749563</v>
      </c>
      <c r="I789" s="357">
        <f t="shared" ca="1" si="361"/>
        <v>104.37574037357305</v>
      </c>
      <c r="J789" s="359">
        <f t="shared" ca="1" si="362"/>
        <v>1366.170645380603</v>
      </c>
      <c r="K789" s="360">
        <f t="shared" ca="1" si="363"/>
        <v>1924.6184297897489</v>
      </c>
      <c r="L789" s="357">
        <f t="shared" ca="1" si="348"/>
        <v>2360.2072647515538</v>
      </c>
      <c r="M789" s="359">
        <f t="shared" ca="1" si="364"/>
        <v>-1.2488383511393055</v>
      </c>
      <c r="N789" s="357">
        <f t="shared" ca="1" si="365"/>
        <v>-71.553166814358931</v>
      </c>
      <c r="O789" s="343"/>
      <c r="P789" s="363">
        <f t="shared" ca="1" si="366"/>
        <v>23</v>
      </c>
      <c r="Q789" s="357">
        <f t="shared" ca="1" si="367"/>
        <v>0</v>
      </c>
      <c r="R789" s="359">
        <f t="shared" ca="1" si="368"/>
        <v>0</v>
      </c>
      <c r="S789" s="360">
        <f t="shared" ca="1" si="369"/>
        <v>10.637999999999975</v>
      </c>
      <c r="T789" s="357">
        <f t="shared" ca="1" si="349"/>
        <v>104.35877999999975</v>
      </c>
      <c r="U789" s="364">
        <f t="shared" ca="1" si="350"/>
        <v>0</v>
      </c>
      <c r="V789" s="359">
        <f t="shared" ca="1" si="351"/>
        <v>1.0099305716272799</v>
      </c>
      <c r="W789" s="357">
        <f t="shared" ca="1" si="352"/>
        <v>25.124116574442699</v>
      </c>
      <c r="X789" s="343"/>
      <c r="Y789" s="367" t="str">
        <f t="shared" ca="1" si="370"/>
        <v/>
      </c>
      <c r="Z789" s="368" t="str">
        <f t="shared" ca="1" si="371"/>
        <v/>
      </c>
      <c r="AA789" s="369" t="str">
        <f t="shared" ca="1" si="372"/>
        <v/>
      </c>
      <c r="AB789" s="344"/>
      <c r="AC789" s="363" t="e">
        <f t="shared" ca="1" si="373"/>
        <v>#N/A</v>
      </c>
      <c r="AD789" s="376" t="e">
        <f t="shared" ca="1" si="374"/>
        <v>#N/A</v>
      </c>
      <c r="AE789" s="377" t="e">
        <f t="shared" ca="1" si="353"/>
        <v>#N/A</v>
      </c>
      <c r="AF789" s="344"/>
      <c r="AG789" s="359">
        <f t="shared" ca="1" si="375"/>
        <v>6.9686206740847023</v>
      </c>
      <c r="AH789" s="357">
        <f t="shared" ca="1" si="376"/>
        <v>-2.3279622776277265</v>
      </c>
    </row>
    <row r="790" spans="1:34" x14ac:dyDescent="0.25">
      <c r="A790" s="402">
        <f t="shared" ca="1" si="354"/>
        <v>0.1</v>
      </c>
      <c r="B790" s="357">
        <f t="shared" ca="1" si="355"/>
        <v>33.600000000000144</v>
      </c>
      <c r="C790" s="342"/>
      <c r="D790" s="359">
        <f t="shared" ca="1" si="356"/>
        <v>-0.74731029676024463</v>
      </c>
      <c r="E790" s="360">
        <f t="shared" ca="1" si="357"/>
        <v>-7.5696182262082008</v>
      </c>
      <c r="F790" s="357">
        <f t="shared" ca="1" si="358"/>
        <v>7.6064178671821123</v>
      </c>
      <c r="G790" s="359">
        <f t="shared" ca="1" si="359"/>
        <v>32.952314218669862</v>
      </c>
      <c r="H790" s="360">
        <f t="shared" ca="1" si="360"/>
        <v>-99.769635055370387</v>
      </c>
      <c r="I790" s="357">
        <f t="shared" ca="1" si="361"/>
        <v>105.07061954441757</v>
      </c>
      <c r="J790" s="359">
        <f t="shared" ca="1" si="362"/>
        <v>1369.4696133539537</v>
      </c>
      <c r="K790" s="360">
        <f t="shared" ca="1" si="363"/>
        <v>1914.679314375343</v>
      </c>
      <c r="L790" s="357">
        <f t="shared" ca="1" si="348"/>
        <v>2354.0271661127153</v>
      </c>
      <c r="M790" s="359">
        <f t="shared" ca="1" si="364"/>
        <v>-1.2517926776960786</v>
      </c>
      <c r="N790" s="357">
        <f t="shared" ca="1" si="365"/>
        <v>-71.722437257365442</v>
      </c>
      <c r="O790" s="343"/>
      <c r="P790" s="363">
        <f t="shared" ca="1" si="366"/>
        <v>23</v>
      </c>
      <c r="Q790" s="357">
        <f t="shared" ca="1" si="367"/>
        <v>0</v>
      </c>
      <c r="R790" s="359">
        <f t="shared" ca="1" si="368"/>
        <v>0</v>
      </c>
      <c r="S790" s="360">
        <f t="shared" ca="1" si="369"/>
        <v>10.637999999999975</v>
      </c>
      <c r="T790" s="357">
        <f t="shared" ca="1" si="349"/>
        <v>104.35877999999975</v>
      </c>
      <c r="U790" s="364">
        <f t="shared" ca="1" si="350"/>
        <v>0</v>
      </c>
      <c r="V790" s="359">
        <f t="shared" ca="1" si="351"/>
        <v>1.0109441950792106</v>
      </c>
      <c r="W790" s="357">
        <f t="shared" ca="1" si="352"/>
        <v>25.485309472726794</v>
      </c>
      <c r="X790" s="343"/>
      <c r="Y790" s="367" t="str">
        <f t="shared" ca="1" si="370"/>
        <v/>
      </c>
      <c r="Z790" s="368" t="str">
        <f t="shared" ca="1" si="371"/>
        <v/>
      </c>
      <c r="AA790" s="369" t="str">
        <f t="shared" ca="1" si="372"/>
        <v/>
      </c>
      <c r="AB790" s="344"/>
      <c r="AC790" s="363" t="e">
        <f t="shared" ca="1" si="373"/>
        <v>#N/A</v>
      </c>
      <c r="AD790" s="376" t="e">
        <f t="shared" ca="1" si="374"/>
        <v>#N/A</v>
      </c>
      <c r="AE790" s="377" t="e">
        <f t="shared" ca="1" si="353"/>
        <v>#N/A</v>
      </c>
      <c r="AF790" s="344"/>
      <c r="AG790" s="359">
        <f t="shared" ca="1" si="375"/>
        <v>6.9442064060900943</v>
      </c>
      <c r="AH790" s="357">
        <f t="shared" ca="1" si="376"/>
        <v>-2.3617330865240418</v>
      </c>
    </row>
    <row r="791" spans="1:34" x14ac:dyDescent="0.25">
      <c r="A791" s="402">
        <f t="shared" ca="1" si="354"/>
        <v>0.1</v>
      </c>
      <c r="B791" s="357">
        <f t="shared" ca="1" si="355"/>
        <v>33.700000000000145</v>
      </c>
      <c r="C791" s="342"/>
      <c r="D791" s="359">
        <f t="shared" ca="1" si="356"/>
        <v>-0.7513366131644954</v>
      </c>
      <c r="E791" s="360">
        <f t="shared" ca="1" si="357"/>
        <v>-7.5351801132471259</v>
      </c>
      <c r="F791" s="357">
        <f t="shared" ca="1" si="358"/>
        <v>7.5725455459413684</v>
      </c>
      <c r="G791" s="359">
        <f t="shared" ca="1" si="359"/>
        <v>32.877180557353412</v>
      </c>
      <c r="H791" s="360">
        <f t="shared" ca="1" si="360"/>
        <v>-100.5231530666951</v>
      </c>
      <c r="I791" s="357">
        <f t="shared" ca="1" si="361"/>
        <v>105.76300536516079</v>
      </c>
      <c r="J791" s="359">
        <f t="shared" ca="1" si="362"/>
        <v>1372.7610880927548</v>
      </c>
      <c r="K791" s="360">
        <f t="shared" ca="1" si="363"/>
        <v>1904.6646749692397</v>
      </c>
      <c r="L791" s="357">
        <f t="shared" ca="1" si="348"/>
        <v>2347.8118598084652</v>
      </c>
      <c r="M791" s="359">
        <f t="shared" ca="1" si="364"/>
        <v>-1.2547016558770065</v>
      </c>
      <c r="N791" s="357">
        <f t="shared" ca="1" si="365"/>
        <v>-71.889109429828252</v>
      </c>
      <c r="O791" s="343"/>
      <c r="P791" s="363">
        <f t="shared" ca="1" si="366"/>
        <v>23</v>
      </c>
      <c r="Q791" s="357">
        <f t="shared" ca="1" si="367"/>
        <v>0</v>
      </c>
      <c r="R791" s="359">
        <f t="shared" ca="1" si="368"/>
        <v>0</v>
      </c>
      <c r="S791" s="360">
        <f t="shared" ca="1" si="369"/>
        <v>10.637999999999975</v>
      </c>
      <c r="T791" s="357">
        <f t="shared" ca="1" si="349"/>
        <v>104.35877999999975</v>
      </c>
      <c r="U791" s="364">
        <f t="shared" ca="1" si="350"/>
        <v>0</v>
      </c>
      <c r="V791" s="359">
        <f t="shared" ca="1" si="351"/>
        <v>1.0119664510771065</v>
      </c>
      <c r="W791" s="357">
        <f t="shared" ca="1" si="352"/>
        <v>25.848409427630628</v>
      </c>
      <c r="X791" s="343"/>
      <c r="Y791" s="367" t="str">
        <f t="shared" ca="1" si="370"/>
        <v/>
      </c>
      <c r="Z791" s="368" t="str">
        <f t="shared" ca="1" si="371"/>
        <v/>
      </c>
      <c r="AA791" s="369" t="str">
        <f t="shared" ca="1" si="372"/>
        <v/>
      </c>
      <c r="AB791" s="344"/>
      <c r="AC791" s="363" t="e">
        <f t="shared" ca="1" si="373"/>
        <v>#N/A</v>
      </c>
      <c r="AD791" s="376" t="e">
        <f t="shared" ca="1" si="374"/>
        <v>#N/A</v>
      </c>
      <c r="AE791" s="377" t="e">
        <f t="shared" ca="1" si="353"/>
        <v>#N/A</v>
      </c>
      <c r="AF791" s="344"/>
      <c r="AG791" s="359">
        <f t="shared" ca="1" si="375"/>
        <v>6.9193832963630744</v>
      </c>
      <c r="AH791" s="357">
        <f t="shared" ca="1" si="376"/>
        <v>-2.3956861696490743</v>
      </c>
    </row>
    <row r="792" spans="1:34" x14ac:dyDescent="0.25">
      <c r="A792" s="402">
        <f t="shared" ca="1" si="354"/>
        <v>0.1</v>
      </c>
      <c r="B792" s="357">
        <f t="shared" ca="1" si="355"/>
        <v>33.800000000000146</v>
      </c>
      <c r="C792" s="342"/>
      <c r="D792" s="359">
        <f t="shared" ca="1" si="356"/>
        <v>-0.75532632572715319</v>
      </c>
      <c r="E792" s="360">
        <f t="shared" ca="1" si="357"/>
        <v>-7.5005627985976195</v>
      </c>
      <c r="F792" s="357">
        <f t="shared" ca="1" si="358"/>
        <v>7.5384985344591682</v>
      </c>
      <c r="G792" s="359">
        <f t="shared" ca="1" si="359"/>
        <v>32.801647924780696</v>
      </c>
      <c r="H792" s="360">
        <f t="shared" ca="1" si="360"/>
        <v>-101.27320934655486</v>
      </c>
      <c r="I792" s="357">
        <f t="shared" ca="1" si="361"/>
        <v>106.45285828916195</v>
      </c>
      <c r="J792" s="359">
        <f t="shared" ca="1" si="362"/>
        <v>1376.0450295168614</v>
      </c>
      <c r="K792" s="360">
        <f t="shared" ca="1" si="363"/>
        <v>1894.5748568485772</v>
      </c>
      <c r="L792" s="357">
        <f t="shared" ca="1" si="348"/>
        <v>2341.5622587197777</v>
      </c>
      <c r="M792" s="359">
        <f t="shared" ca="1" si="364"/>
        <v>-1.2575663157060388</v>
      </c>
      <c r="N792" s="357">
        <f t="shared" ca="1" si="365"/>
        <v>-72.053242347772482</v>
      </c>
      <c r="O792" s="343"/>
      <c r="P792" s="363">
        <f t="shared" ca="1" si="366"/>
        <v>23</v>
      </c>
      <c r="Q792" s="357">
        <f t="shared" ca="1" si="367"/>
        <v>0</v>
      </c>
      <c r="R792" s="359">
        <f t="shared" ca="1" si="368"/>
        <v>0</v>
      </c>
      <c r="S792" s="360">
        <f t="shared" ca="1" si="369"/>
        <v>10.637999999999975</v>
      </c>
      <c r="T792" s="357">
        <f t="shared" ca="1" si="349"/>
        <v>104.35877999999975</v>
      </c>
      <c r="U792" s="364">
        <f t="shared" ca="1" si="350"/>
        <v>0</v>
      </c>
      <c r="V792" s="359">
        <f t="shared" ca="1" si="351"/>
        <v>1.0129973267520611</v>
      </c>
      <c r="W792" s="357">
        <f t="shared" ca="1" si="352"/>
        <v>26.213384371775362</v>
      </c>
      <c r="X792" s="343"/>
      <c r="Y792" s="367" t="str">
        <f t="shared" ca="1" si="370"/>
        <v/>
      </c>
      <c r="Z792" s="368" t="str">
        <f t="shared" ca="1" si="371"/>
        <v/>
      </c>
      <c r="AA792" s="369" t="str">
        <f t="shared" ca="1" si="372"/>
        <v/>
      </c>
      <c r="AB792" s="344"/>
      <c r="AC792" s="363" t="e">
        <f t="shared" ca="1" si="373"/>
        <v>#N/A</v>
      </c>
      <c r="AD792" s="376" t="e">
        <f t="shared" ca="1" si="374"/>
        <v>#N/A</v>
      </c>
      <c r="AE792" s="377" t="e">
        <f t="shared" ca="1" si="353"/>
        <v>#N/A</v>
      </c>
      <c r="AF792" s="344"/>
      <c r="AG792" s="359">
        <f t="shared" ca="1" si="375"/>
        <v>6.8941613353521509</v>
      </c>
      <c r="AH792" s="357">
        <f t="shared" ca="1" si="376"/>
        <v>-2.4298185211158758</v>
      </c>
    </row>
    <row r="793" spans="1:34" x14ac:dyDescent="0.25">
      <c r="A793" s="402">
        <f t="shared" ca="1" si="354"/>
        <v>0.1</v>
      </c>
      <c r="B793" s="357">
        <f t="shared" ca="1" si="355"/>
        <v>33.900000000000148</v>
      </c>
      <c r="C793" s="342"/>
      <c r="D793" s="359">
        <f t="shared" ca="1" si="356"/>
        <v>-0.75927910010655508</v>
      </c>
      <c r="E793" s="360">
        <f t="shared" ca="1" si="357"/>
        <v>-7.4657692639745932</v>
      </c>
      <c r="F793" s="357">
        <f t="shared" ca="1" si="358"/>
        <v>7.5042798091999714</v>
      </c>
      <c r="G793" s="359">
        <f t="shared" ca="1" si="359"/>
        <v>32.72572001477004</v>
      </c>
      <c r="H793" s="360">
        <f t="shared" ca="1" si="360"/>
        <v>-102.01978627295233</v>
      </c>
      <c r="I793" s="357">
        <f t="shared" ca="1" si="361"/>
        <v>107.14013973140035</v>
      </c>
      <c r="J793" s="359">
        <f t="shared" ca="1" si="362"/>
        <v>1379.3213979138388</v>
      </c>
      <c r="K793" s="360">
        <f t="shared" ca="1" si="363"/>
        <v>1884.4102070676017</v>
      </c>
      <c r="L793" s="357">
        <f t="shared" ca="1" si="348"/>
        <v>2335.2792867756839</v>
      </c>
      <c r="M793" s="359">
        <f t="shared" ca="1" si="364"/>
        <v>-1.2603876575566779</v>
      </c>
      <c r="N793" s="357">
        <f t="shared" ca="1" si="365"/>
        <v>-72.214893328377727</v>
      </c>
      <c r="O793" s="343"/>
      <c r="P793" s="363">
        <f t="shared" ca="1" si="366"/>
        <v>23</v>
      </c>
      <c r="Q793" s="357">
        <f t="shared" ca="1" si="367"/>
        <v>0</v>
      </c>
      <c r="R793" s="359">
        <f t="shared" ca="1" si="368"/>
        <v>0</v>
      </c>
      <c r="S793" s="360">
        <f t="shared" ca="1" si="369"/>
        <v>10.637999999999975</v>
      </c>
      <c r="T793" s="357">
        <f t="shared" ca="1" si="349"/>
        <v>104.35877999999975</v>
      </c>
      <c r="U793" s="364">
        <f t="shared" ca="1" si="350"/>
        <v>0</v>
      </c>
      <c r="V793" s="359">
        <f t="shared" ca="1" si="351"/>
        <v>1.0140368091425824</v>
      </c>
      <c r="W793" s="357">
        <f t="shared" ca="1" si="352"/>
        <v>26.580202151619641</v>
      </c>
      <c r="X793" s="343"/>
      <c r="Y793" s="367" t="str">
        <f t="shared" ca="1" si="370"/>
        <v/>
      </c>
      <c r="Z793" s="368" t="str">
        <f t="shared" ca="1" si="371"/>
        <v/>
      </c>
      <c r="AA793" s="369" t="str">
        <f t="shared" ca="1" si="372"/>
        <v/>
      </c>
      <c r="AB793" s="344"/>
      <c r="AC793" s="363" t="e">
        <f t="shared" ca="1" si="373"/>
        <v>#N/A</v>
      </c>
      <c r="AD793" s="376" t="e">
        <f t="shared" ca="1" si="374"/>
        <v>#N/A</v>
      </c>
      <c r="AE793" s="377" t="e">
        <f t="shared" ca="1" si="353"/>
        <v>#N/A</v>
      </c>
      <c r="AF793" s="344"/>
      <c r="AG793" s="359">
        <f t="shared" ca="1" si="375"/>
        <v>6.8685502638088938</v>
      </c>
      <c r="AH793" s="357">
        <f t="shared" ca="1" si="376"/>
        <v>-2.464127126506432</v>
      </c>
    </row>
    <row r="794" spans="1:34" x14ac:dyDescent="0.25">
      <c r="A794" s="402">
        <f t="shared" ca="1" si="354"/>
        <v>0.1</v>
      </c>
      <c r="B794" s="357">
        <f t="shared" ca="1" si="355"/>
        <v>34.000000000000149</v>
      </c>
      <c r="C794" s="342"/>
      <c r="D794" s="359">
        <f t="shared" ca="1" si="356"/>
        <v>-0.76319461188355708</v>
      </c>
      <c r="E794" s="360">
        <f t="shared" ca="1" si="357"/>
        <v>-7.4308025017054344</v>
      </c>
      <c r="F794" s="357">
        <f t="shared" ca="1" si="358"/>
        <v>7.4698923576554854</v>
      </c>
      <c r="G794" s="359">
        <f t="shared" ca="1" si="359"/>
        <v>32.649400553581685</v>
      </c>
      <c r="H794" s="360">
        <f t="shared" ca="1" si="360"/>
        <v>-102.76286652312288</v>
      </c>
      <c r="I794" s="357">
        <f t="shared" ca="1" si="361"/>
        <v>107.8248120450826</v>
      </c>
      <c r="J794" s="359">
        <f t="shared" ca="1" si="362"/>
        <v>1382.5901539422564</v>
      </c>
      <c r="K794" s="360">
        <f t="shared" ca="1" si="363"/>
        <v>1874.171074427798</v>
      </c>
      <c r="L794" s="357">
        <f t="shared" ca="1" si="348"/>
        <v>2328.9638790672384</v>
      </c>
      <c r="M794" s="359">
        <f t="shared" ca="1" si="364"/>
        <v>-1.2631666531531991</v>
      </c>
      <c r="N794" s="357">
        <f t="shared" ca="1" si="365"/>
        <v>-72.374118047343828</v>
      </c>
      <c r="O794" s="343"/>
      <c r="P794" s="363">
        <f t="shared" ca="1" si="366"/>
        <v>23</v>
      </c>
      <c r="Q794" s="357">
        <f t="shared" ca="1" si="367"/>
        <v>0</v>
      </c>
      <c r="R794" s="359">
        <f t="shared" ca="1" si="368"/>
        <v>0</v>
      </c>
      <c r="S794" s="360">
        <f t="shared" ca="1" si="369"/>
        <v>10.637999999999975</v>
      </c>
      <c r="T794" s="357">
        <f t="shared" ca="1" si="349"/>
        <v>104.35877999999975</v>
      </c>
      <c r="U794" s="364">
        <f t="shared" ca="1" si="350"/>
        <v>0</v>
      </c>
      <c r="V794" s="359">
        <f t="shared" ca="1" si="351"/>
        <v>1.015084885195211</v>
      </c>
      <c r="W794" s="357">
        <f t="shared" ca="1" si="352"/>
        <v>26.948830532064381</v>
      </c>
      <c r="X794" s="343"/>
      <c r="Y794" s="367" t="str">
        <f t="shared" ca="1" si="370"/>
        <v/>
      </c>
      <c r="Z794" s="368" t="str">
        <f t="shared" ca="1" si="371"/>
        <v/>
      </c>
      <c r="AA794" s="369" t="str">
        <f t="shared" ca="1" si="372"/>
        <v/>
      </c>
      <c r="AB794" s="344"/>
      <c r="AC794" s="363">
        <f t="shared" ca="1" si="373"/>
        <v>34.000000000000149</v>
      </c>
      <c r="AD794" s="376">
        <f t="shared" ca="1" si="374"/>
        <v>1382.5901539422564</v>
      </c>
      <c r="AE794" s="377" t="e">
        <f t="shared" ca="1" si="353"/>
        <v>#N/A</v>
      </c>
      <c r="AF794" s="344"/>
      <c r="AG794" s="359">
        <f t="shared" ca="1" si="375"/>
        <v>6.8425595833002877</v>
      </c>
      <c r="AH794" s="357">
        <f t="shared" ca="1" si="376"/>
        <v>-2.4986089633032247</v>
      </c>
    </row>
    <row r="795" spans="1:34" x14ac:dyDescent="0.25">
      <c r="A795" s="402">
        <f t="shared" ca="1" si="354"/>
        <v>0.1</v>
      </c>
      <c r="B795" s="357">
        <f t="shared" ca="1" si="355"/>
        <v>34.100000000000151</v>
      </c>
      <c r="C795" s="342"/>
      <c r="D795" s="359">
        <f t="shared" ca="1" si="356"/>
        <v>-0.76707254638525002</v>
      </c>
      <c r="E795" s="360">
        <f t="shared" ca="1" si="357"/>
        <v>-7.395665514183781</v>
      </c>
      <c r="F795" s="357">
        <f t="shared" ca="1" si="358"/>
        <v>7.4353391778119446</v>
      </c>
      <c r="G795" s="359">
        <f t="shared" ca="1" si="359"/>
        <v>32.572693298943157</v>
      </c>
      <c r="H795" s="360">
        <f t="shared" ca="1" si="360"/>
        <v>-103.50243307454126</v>
      </c>
      <c r="I795" s="357">
        <f t="shared" ca="1" si="361"/>
        <v>108.50683849922505</v>
      </c>
      <c r="J795" s="359">
        <f t="shared" ca="1" si="362"/>
        <v>1385.8512586348827</v>
      </c>
      <c r="K795" s="360">
        <f t="shared" ca="1" si="363"/>
        <v>1863.8578094479149</v>
      </c>
      <c r="L795" s="357">
        <f t="shared" ca="1" si="348"/>
        <v>2322.6169819623442</v>
      </c>
      <c r="M795" s="359">
        <f t="shared" ca="1" si="364"/>
        <v>-1.2659042465343584</v>
      </c>
      <c r="N795" s="357">
        <f t="shared" ca="1" si="365"/>
        <v>-72.530970594107202</v>
      </c>
      <c r="O795" s="343"/>
      <c r="P795" s="363">
        <f t="shared" ca="1" si="366"/>
        <v>23</v>
      </c>
      <c r="Q795" s="357">
        <f t="shared" ca="1" si="367"/>
        <v>0</v>
      </c>
      <c r="R795" s="359">
        <f t="shared" ca="1" si="368"/>
        <v>0</v>
      </c>
      <c r="S795" s="360">
        <f t="shared" ca="1" si="369"/>
        <v>10.637999999999975</v>
      </c>
      <c r="T795" s="357">
        <f t="shared" ca="1" si="349"/>
        <v>104.35877999999975</v>
      </c>
      <c r="U795" s="364">
        <f t="shared" ca="1" si="350"/>
        <v>0</v>
      </c>
      <c r="V795" s="359">
        <f t="shared" ca="1" si="351"/>
        <v>1.0161415417651447</v>
      </c>
      <c r="W795" s="357">
        <f t="shared" ca="1" si="352"/>
        <v>27.319237201070212</v>
      </c>
      <c r="X795" s="343"/>
      <c r="Y795" s="367" t="str">
        <f t="shared" ca="1" si="370"/>
        <v/>
      </c>
      <c r="Z795" s="368" t="str">
        <f t="shared" ca="1" si="371"/>
        <v/>
      </c>
      <c r="AA795" s="369" t="str">
        <f t="shared" ca="1" si="372"/>
        <v/>
      </c>
      <c r="AB795" s="344"/>
      <c r="AC795" s="363" t="e">
        <f t="shared" ca="1" si="373"/>
        <v>#N/A</v>
      </c>
      <c r="AD795" s="376" t="e">
        <f t="shared" ca="1" si="374"/>
        <v>#N/A</v>
      </c>
      <c r="AE795" s="377" t="e">
        <f t="shared" ca="1" si="353"/>
        <v>#N/A</v>
      </c>
      <c r="AF795" s="344"/>
      <c r="AG795" s="359">
        <f t="shared" ca="1" si="375"/>
        <v>6.8161985662061797</v>
      </c>
      <c r="AH795" s="357">
        <f t="shared" ca="1" si="376"/>
        <v>-2.5332610013220949</v>
      </c>
    </row>
    <row r="796" spans="1:34" x14ac:dyDescent="0.25">
      <c r="A796" s="402">
        <f t="shared" ca="1" si="354"/>
        <v>0.1</v>
      </c>
      <c r="B796" s="357">
        <f t="shared" ca="1" si="355"/>
        <v>34.200000000000152</v>
      </c>
      <c r="C796" s="342"/>
      <c r="D796" s="359">
        <f t="shared" ca="1" si="356"/>
        <v>-0.77091259851580041</v>
      </c>
      <c r="E796" s="360">
        <f t="shared" ca="1" si="357"/>
        <v>-7.3603613133277133</v>
      </c>
      <c r="F796" s="357">
        <f t="shared" ca="1" si="358"/>
        <v>7.4006232776220706</v>
      </c>
      <c r="G796" s="359">
        <f t="shared" ca="1" si="359"/>
        <v>32.49560203909158</v>
      </c>
      <c r="H796" s="360">
        <f t="shared" ca="1" si="360"/>
        <v>-104.23846920587403</v>
      </c>
      <c r="I796" s="357">
        <f t="shared" ca="1" si="361"/>
        <v>109.18618325716382</v>
      </c>
      <c r="J796" s="359">
        <f t="shared" ca="1" si="362"/>
        <v>1389.1046734017843</v>
      </c>
      <c r="K796" s="360">
        <f t="shared" ca="1" si="363"/>
        <v>1853.4707643338941</v>
      </c>
      <c r="L796" s="357">
        <f t="shared" ca="1" si="348"/>
        <v>2316.2395532213736</v>
      </c>
      <c r="M796" s="359">
        <f t="shared" ca="1" si="364"/>
        <v>-1.268601354981054</v>
      </c>
      <c r="N796" s="357">
        <f t="shared" ca="1" si="365"/>
        <v>-72.685503524991944</v>
      </c>
      <c r="O796" s="343"/>
      <c r="P796" s="363">
        <f t="shared" ca="1" si="366"/>
        <v>23</v>
      </c>
      <c r="Q796" s="357">
        <f t="shared" ca="1" si="367"/>
        <v>0</v>
      </c>
      <c r="R796" s="359">
        <f t="shared" ca="1" si="368"/>
        <v>0</v>
      </c>
      <c r="S796" s="360">
        <f t="shared" ca="1" si="369"/>
        <v>10.637999999999975</v>
      </c>
      <c r="T796" s="357">
        <f t="shared" ca="1" si="349"/>
        <v>104.35877999999975</v>
      </c>
      <c r="U796" s="364">
        <f t="shared" ca="1" si="350"/>
        <v>0</v>
      </c>
      <c r="V796" s="359">
        <f t="shared" ca="1" si="351"/>
        <v>1.0172067656168733</v>
      </c>
      <c r="W796" s="357">
        <f t="shared" ca="1" si="352"/>
        <v>27.691389774286208</v>
      </c>
      <c r="X796" s="343"/>
      <c r="Y796" s="367" t="str">
        <f t="shared" ca="1" si="370"/>
        <v/>
      </c>
      <c r="Z796" s="368" t="str">
        <f t="shared" ca="1" si="371"/>
        <v/>
      </c>
      <c r="AA796" s="369" t="str">
        <f t="shared" ca="1" si="372"/>
        <v/>
      </c>
      <c r="AB796" s="344"/>
      <c r="AC796" s="363" t="e">
        <f t="shared" ca="1" si="373"/>
        <v>#N/A</v>
      </c>
      <c r="AD796" s="376" t="e">
        <f t="shared" ca="1" si="374"/>
        <v>#N/A</v>
      </c>
      <c r="AE796" s="377" t="e">
        <f t="shared" ca="1" si="353"/>
        <v>#N/A</v>
      </c>
      <c r="AF796" s="344"/>
      <c r="AG796" s="359">
        <f t="shared" ca="1" si="375"/>
        <v>6.7894762652278278</v>
      </c>
      <c r="AH796" s="357">
        <f t="shared" ca="1" si="376"/>
        <v>-2.5680802031462941</v>
      </c>
    </row>
    <row r="797" spans="1:34" x14ac:dyDescent="0.25">
      <c r="A797" s="402">
        <f t="shared" ca="1" si="354"/>
        <v>0.1</v>
      </c>
      <c r="B797" s="357">
        <f t="shared" ca="1" si="355"/>
        <v>34.300000000000153</v>
      </c>
      <c r="C797" s="342"/>
      <c r="D797" s="359">
        <f t="shared" ca="1" si="356"/>
        <v>-0.77471447259402992</v>
      </c>
      <c r="E797" s="360">
        <f t="shared" ca="1" si="357"/>
        <v>-7.3248929200421973</v>
      </c>
      <c r="F797" s="357">
        <f t="shared" ca="1" si="358"/>
        <v>7.3657476744815895</v>
      </c>
      <c r="G797" s="359">
        <f t="shared" ca="1" si="359"/>
        <v>32.418130591832174</v>
      </c>
      <c r="H797" s="360">
        <f t="shared" ca="1" si="360"/>
        <v>-104.97095849787824</v>
      </c>
      <c r="I797" s="357">
        <f t="shared" ca="1" si="361"/>
        <v>109.86281135594685</v>
      </c>
      <c r="J797" s="359">
        <f t="shared" ca="1" si="362"/>
        <v>1392.3503600333306</v>
      </c>
      <c r="K797" s="360">
        <f t="shared" ca="1" si="363"/>
        <v>1843.0102929487064</v>
      </c>
      <c r="L797" s="357">
        <f t="shared" ca="1" si="348"/>
        <v>2309.8325621135014</v>
      </c>
      <c r="M797" s="359">
        <f t="shared" ca="1" si="364"/>
        <v>-1.271258869909353</v>
      </c>
      <c r="N797" s="357">
        <f t="shared" ca="1" si="365"/>
        <v>-72.837767914376499</v>
      </c>
      <c r="O797" s="343"/>
      <c r="P797" s="363">
        <f t="shared" ca="1" si="366"/>
        <v>23</v>
      </c>
      <c r="Q797" s="357">
        <f t="shared" ca="1" si="367"/>
        <v>0</v>
      </c>
      <c r="R797" s="359">
        <f t="shared" ca="1" si="368"/>
        <v>0</v>
      </c>
      <c r="S797" s="360">
        <f t="shared" ca="1" si="369"/>
        <v>10.637999999999975</v>
      </c>
      <c r="T797" s="357">
        <f t="shared" ca="1" si="349"/>
        <v>104.35877999999975</v>
      </c>
      <c r="U797" s="364">
        <f t="shared" ca="1" si="350"/>
        <v>0</v>
      </c>
      <c r="V797" s="359">
        <f t="shared" ca="1" si="351"/>
        <v>1.0182805434248241</v>
      </c>
      <c r="W797" s="357">
        <f t="shared" ca="1" si="352"/>
        <v>28.065255799688895</v>
      </c>
      <c r="X797" s="343"/>
      <c r="Y797" s="367" t="str">
        <f t="shared" ca="1" si="370"/>
        <v/>
      </c>
      <c r="Z797" s="368" t="str">
        <f t="shared" ca="1" si="371"/>
        <v/>
      </c>
      <c r="AA797" s="369" t="str">
        <f t="shared" ca="1" si="372"/>
        <v/>
      </c>
      <c r="AB797" s="344"/>
      <c r="AC797" s="363" t="e">
        <f t="shared" ca="1" si="373"/>
        <v>#N/A</v>
      </c>
      <c r="AD797" s="376" t="e">
        <f t="shared" ca="1" si="374"/>
        <v>#N/A</v>
      </c>
      <c r="AE797" s="377" t="e">
        <f t="shared" ca="1" si="353"/>
        <v>#N/A</v>
      </c>
      <c r="AF797" s="344"/>
      <c r="AG797" s="359">
        <f t="shared" ca="1" si="375"/>
        <v>6.7624015224321736</v>
      </c>
      <c r="AH797" s="357">
        <f t="shared" ca="1" si="376"/>
        <v>-2.6030635245615974</v>
      </c>
    </row>
    <row r="798" spans="1:34" x14ac:dyDescent="0.25">
      <c r="A798" s="402">
        <f t="shared" ca="1" si="354"/>
        <v>0.1</v>
      </c>
      <c r="B798" s="357">
        <f t="shared" ca="1" si="355"/>
        <v>34.400000000000155</v>
      </c>
      <c r="C798" s="342"/>
      <c r="D798" s="359">
        <f t="shared" ca="1" si="356"/>
        <v>-0.77847788219738512</v>
      </c>
      <c r="E798" s="360">
        <f t="shared" ca="1" si="357"/>
        <v>-7.2892633636855422</v>
      </c>
      <c r="F798" s="357">
        <f t="shared" ca="1" si="358"/>
        <v>7.3307153947100412</v>
      </c>
      <c r="G798" s="359">
        <f t="shared" ca="1" si="359"/>
        <v>32.340282803612439</v>
      </c>
      <c r="H798" s="360">
        <f t="shared" ca="1" si="360"/>
        <v>-105.6998848342468</v>
      </c>
      <c r="I798" s="357">
        <f t="shared" ca="1" si="361"/>
        <v>110.53668868656536</v>
      </c>
      <c r="J798" s="359">
        <f t="shared" ca="1" si="362"/>
        <v>1395.5882807031028</v>
      </c>
      <c r="K798" s="360">
        <f t="shared" ca="1" si="363"/>
        <v>1832.4767507821002</v>
      </c>
      <c r="L798" s="357">
        <f t="shared" ca="1" si="348"/>
        <v>2303.3969895336681</v>
      </c>
      <c r="M798" s="359">
        <f t="shared" ca="1" si="364"/>
        <v>-1.2738776577302444</v>
      </c>
      <c r="N798" s="357">
        <f t="shared" ca="1" si="365"/>
        <v>-72.987813403953837</v>
      </c>
      <c r="O798" s="343"/>
      <c r="P798" s="363">
        <f t="shared" ca="1" si="366"/>
        <v>23</v>
      </c>
      <c r="Q798" s="357">
        <f t="shared" ca="1" si="367"/>
        <v>0</v>
      </c>
      <c r="R798" s="359">
        <f t="shared" ca="1" si="368"/>
        <v>0</v>
      </c>
      <c r="S798" s="360">
        <f t="shared" ca="1" si="369"/>
        <v>10.637999999999975</v>
      </c>
      <c r="T798" s="357">
        <f t="shared" ca="1" si="349"/>
        <v>104.35877999999975</v>
      </c>
      <c r="U798" s="364">
        <f t="shared" ca="1" si="350"/>
        <v>0</v>
      </c>
      <c r="V798" s="359">
        <f t="shared" ca="1" si="351"/>
        <v>1.0193628617740167</v>
      </c>
      <c r="W798" s="357">
        <f t="shared" ca="1" si="352"/>
        <v>28.440802762230096</v>
      </c>
      <c r="X798" s="343"/>
      <c r="Y798" s="367" t="str">
        <f t="shared" ca="1" si="370"/>
        <v/>
      </c>
      <c r="Z798" s="368" t="str">
        <f t="shared" ca="1" si="371"/>
        <v/>
      </c>
      <c r="AA798" s="369" t="str">
        <f t="shared" ca="1" si="372"/>
        <v/>
      </c>
      <c r="AB798" s="344"/>
      <c r="AC798" s="363" t="e">
        <f t="shared" ca="1" si="373"/>
        <v>#N/A</v>
      </c>
      <c r="AD798" s="376" t="e">
        <f t="shared" ca="1" si="374"/>
        <v>#N/A</v>
      </c>
      <c r="AE798" s="377" t="e">
        <f t="shared" ca="1" si="353"/>
        <v>#N/A</v>
      </c>
      <c r="AF798" s="344"/>
      <c r="AG798" s="359">
        <f t="shared" ca="1" si="375"/>
        <v>6.7349829778551324</v>
      </c>
      <c r="AH798" s="357">
        <f t="shared" ca="1" si="376"/>
        <v>-2.6382079149923823</v>
      </c>
    </row>
    <row r="799" spans="1:34" x14ac:dyDescent="0.25">
      <c r="A799" s="402">
        <f t="shared" ca="1" si="354"/>
        <v>0.1</v>
      </c>
      <c r="B799" s="357">
        <f t="shared" ca="1" si="355"/>
        <v>34.500000000000156</v>
      </c>
      <c r="C799" s="342"/>
      <c r="D799" s="359">
        <f t="shared" ca="1" si="356"/>
        <v>-0.78220255001194672</v>
      </c>
      <c r="E799" s="360">
        <f t="shared" ca="1" si="357"/>
        <v>-7.2534756815397543</v>
      </c>
      <c r="F799" s="357">
        <f t="shared" ca="1" si="358"/>
        <v>7.2955294730357849</v>
      </c>
      <c r="G799" s="359">
        <f t="shared" ca="1" si="359"/>
        <v>32.262062548611247</v>
      </c>
      <c r="H799" s="360">
        <f t="shared" ca="1" si="360"/>
        <v>-106.42523240240078</v>
      </c>
      <c r="I799" s="357">
        <f t="shared" ca="1" si="361"/>
        <v>111.20778197498376</v>
      </c>
      <c r="J799" s="359">
        <f t="shared" ca="1" si="362"/>
        <v>1398.8183979707139</v>
      </c>
      <c r="K799" s="360">
        <f t="shared" ca="1" si="363"/>
        <v>1821.8704949202679</v>
      </c>
      <c r="L799" s="357">
        <f t="shared" ca="1" si="348"/>
        <v>2296.9338281200826</v>
      </c>
      <c r="M799" s="359">
        <f t="shared" ca="1" si="364"/>
        <v>-1.2764585606774279</v>
      </c>
      <c r="N799" s="357">
        <f t="shared" ca="1" si="365"/>
        <v>-73.135688250160328</v>
      </c>
      <c r="O799" s="343"/>
      <c r="P799" s="363">
        <f t="shared" ca="1" si="366"/>
        <v>23</v>
      </c>
      <c r="Q799" s="357">
        <f t="shared" ca="1" si="367"/>
        <v>0</v>
      </c>
      <c r="R799" s="359">
        <f t="shared" ca="1" si="368"/>
        <v>0</v>
      </c>
      <c r="S799" s="360">
        <f t="shared" ca="1" si="369"/>
        <v>10.637999999999975</v>
      </c>
      <c r="T799" s="357">
        <f t="shared" ca="1" si="349"/>
        <v>104.35877999999975</v>
      </c>
      <c r="U799" s="364">
        <f t="shared" ca="1" si="350"/>
        <v>0</v>
      </c>
      <c r="V799" s="359">
        <f t="shared" ca="1" si="351"/>
        <v>1.0204537071607267</v>
      </c>
      <c r="W799" s="357">
        <f t="shared" ca="1" si="352"/>
        <v>28.81799808849269</v>
      </c>
      <c r="X799" s="343"/>
      <c r="Y799" s="367" t="str">
        <f t="shared" ca="1" si="370"/>
        <v/>
      </c>
      <c r="Z799" s="368" t="str">
        <f t="shared" ca="1" si="371"/>
        <v/>
      </c>
      <c r="AA799" s="369" t="str">
        <f t="shared" ca="1" si="372"/>
        <v/>
      </c>
      <c r="AB799" s="344"/>
      <c r="AC799" s="363" t="e">
        <f t="shared" ca="1" si="373"/>
        <v>#N/A</v>
      </c>
      <c r="AD799" s="376" t="e">
        <f t="shared" ca="1" si="374"/>
        <v>#N/A</v>
      </c>
      <c r="AE799" s="377" t="e">
        <f t="shared" ca="1" si="353"/>
        <v>#N/A</v>
      </c>
      <c r="AF799" s="344"/>
      <c r="AG799" s="359">
        <f t="shared" ca="1" si="375"/>
        <v>6.7072290776861099</v>
      </c>
      <c r="AH799" s="357">
        <f t="shared" ca="1" si="376"/>
        <v>-2.6735103179385376</v>
      </c>
    </row>
    <row r="800" spans="1:34" x14ac:dyDescent="0.25">
      <c r="A800" s="402">
        <f t="shared" ca="1" si="354"/>
        <v>0.1</v>
      </c>
      <c r="B800" s="357">
        <f t="shared" ca="1" si="355"/>
        <v>34.600000000000158</v>
      </c>
      <c r="C800" s="342"/>
      <c r="D800" s="359">
        <f t="shared" ca="1" si="356"/>
        <v>-0.78588820768816126</v>
      </c>
      <c r="E800" s="360">
        <f t="shared" ca="1" si="357"/>
        <v>-7.2175329182845731</v>
      </c>
      <c r="F800" s="357">
        <f t="shared" ca="1" si="358"/>
        <v>7.2601929520850019</v>
      </c>
      <c r="G800" s="359">
        <f t="shared" ca="1" si="359"/>
        <v>32.183473727842433</v>
      </c>
      <c r="H800" s="360">
        <f t="shared" ca="1" si="360"/>
        <v>-107.14698569422924</v>
      </c>
      <c r="I800" s="357">
        <f t="shared" ca="1" si="361"/>
        <v>111.87605876392898</v>
      </c>
      <c r="J800" s="359">
        <f t="shared" ca="1" si="362"/>
        <v>1402.0406747845366</v>
      </c>
      <c r="K800" s="360">
        <f t="shared" ca="1" si="363"/>
        <v>1811.1918840154365</v>
      </c>
      <c r="L800" s="357">
        <f t="shared" ca="1" si="348"/>
        <v>2290.4440823721638</v>
      </c>
      <c r="M800" s="359">
        <f t="shared" ca="1" si="364"/>
        <v>-1.2790023976043947</v>
      </c>
      <c r="N800" s="357">
        <f t="shared" ca="1" si="365"/>
        <v>-73.281439369845046</v>
      </c>
      <c r="O800" s="343"/>
      <c r="P800" s="363">
        <f t="shared" ca="1" si="366"/>
        <v>23</v>
      </c>
      <c r="Q800" s="357">
        <f t="shared" ca="1" si="367"/>
        <v>0</v>
      </c>
      <c r="R800" s="359">
        <f t="shared" ca="1" si="368"/>
        <v>0</v>
      </c>
      <c r="S800" s="360">
        <f t="shared" ca="1" si="369"/>
        <v>10.637999999999975</v>
      </c>
      <c r="T800" s="357">
        <f t="shared" ca="1" si="349"/>
        <v>104.35877999999975</v>
      </c>
      <c r="U800" s="364">
        <f t="shared" ca="1" si="350"/>
        <v>0</v>
      </c>
      <c r="V800" s="359">
        <f t="shared" ca="1" si="351"/>
        <v>1.02155306599316</v>
      </c>
      <c r="W800" s="357">
        <f t="shared" ca="1" si="352"/>
        <v>29.196809151352724</v>
      </c>
      <c r="X800" s="343"/>
      <c r="Y800" s="367" t="str">
        <f t="shared" ca="1" si="370"/>
        <v/>
      </c>
      <c r="Z800" s="368" t="str">
        <f t="shared" ca="1" si="371"/>
        <v/>
      </c>
      <c r="AA800" s="369" t="str">
        <f t="shared" ca="1" si="372"/>
        <v/>
      </c>
      <c r="AB800" s="344"/>
      <c r="AC800" s="363" t="e">
        <f t="shared" ca="1" si="373"/>
        <v>#N/A</v>
      </c>
      <c r="AD800" s="376" t="e">
        <f t="shared" ca="1" si="374"/>
        <v>#N/A</v>
      </c>
      <c r="AE800" s="377" t="e">
        <f t="shared" ca="1" si="353"/>
        <v>#N/A</v>
      </c>
      <c r="AF800" s="344"/>
      <c r="AG800" s="359">
        <f t="shared" ca="1" si="375"/>
        <v>6.6791480820546294</v>
      </c>
      <c r="AH800" s="357">
        <f t="shared" ca="1" si="376"/>
        <v>-2.7089676714131188</v>
      </c>
    </row>
    <row r="801" spans="1:34" x14ac:dyDescent="0.25">
      <c r="A801" s="402">
        <f t="shared" ca="1" si="354"/>
        <v>0.1</v>
      </c>
      <c r="B801" s="357">
        <f t="shared" ca="1" si="355"/>
        <v>34.700000000000159</v>
      </c>
      <c r="C801" s="342"/>
      <c r="D801" s="359">
        <f t="shared" ca="1" si="356"/>
        <v>-0.78953459570198303</v>
      </c>
      <c r="E801" s="360">
        <f t="shared" ca="1" si="357"/>
        <v>-7.1814381254751289</v>
      </c>
      <c r="F801" s="357">
        <f t="shared" ca="1" si="358"/>
        <v>7.224708881874621</v>
      </c>
      <c r="G801" s="359">
        <f t="shared" ca="1" si="359"/>
        <v>32.104520268272232</v>
      </c>
      <c r="H801" s="360">
        <f t="shared" ca="1" si="360"/>
        <v>-107.86512950677675</v>
      </c>
      <c r="I801" s="357">
        <f t="shared" ca="1" si="361"/>
        <v>112.54148739540288</v>
      </c>
      <c r="J801" s="359">
        <f t="shared" ca="1" si="362"/>
        <v>1405.2550744843422</v>
      </c>
      <c r="K801" s="360">
        <f t="shared" ca="1" si="363"/>
        <v>1800.4412782553861</v>
      </c>
      <c r="L801" s="357">
        <f t="shared" ca="1" si="348"/>
        <v>2283.9287687688256</v>
      </c>
      <c r="M801" s="359">
        <f t="shared" ca="1" si="364"/>
        <v>-1.2815099647520154</v>
      </c>
      <c r="N801" s="357">
        <f t="shared" ca="1" si="365"/>
        <v>-73.425112384249374</v>
      </c>
      <c r="O801" s="343"/>
      <c r="P801" s="363">
        <f t="shared" ca="1" si="366"/>
        <v>23</v>
      </c>
      <c r="Q801" s="357">
        <f t="shared" ca="1" si="367"/>
        <v>0</v>
      </c>
      <c r="R801" s="359">
        <f t="shared" ca="1" si="368"/>
        <v>0</v>
      </c>
      <c r="S801" s="360">
        <f t="shared" ca="1" si="369"/>
        <v>10.637999999999975</v>
      </c>
      <c r="T801" s="357">
        <f t="shared" ca="1" si="349"/>
        <v>104.35877999999975</v>
      </c>
      <c r="U801" s="364">
        <f t="shared" ca="1" si="350"/>
        <v>0</v>
      </c>
      <c r="V801" s="359">
        <f t="shared" ca="1" si="351"/>
        <v>1.0226609245921332</v>
      </c>
      <c r="W801" s="357">
        <f t="shared" ca="1" si="352"/>
        <v>29.577203274646983</v>
      </c>
      <c r="X801" s="343"/>
      <c r="Y801" s="367" t="str">
        <f t="shared" ca="1" si="370"/>
        <v/>
      </c>
      <c r="Z801" s="368" t="str">
        <f t="shared" ca="1" si="371"/>
        <v/>
      </c>
      <c r="AA801" s="369" t="str">
        <f t="shared" ca="1" si="372"/>
        <v/>
      </c>
      <c r="AB801" s="344"/>
      <c r="AC801" s="363" t="e">
        <f t="shared" ca="1" si="373"/>
        <v>#N/A</v>
      </c>
      <c r="AD801" s="376" t="e">
        <f t="shared" ca="1" si="374"/>
        <v>#N/A</v>
      </c>
      <c r="AE801" s="377" t="e">
        <f t="shared" ca="1" si="353"/>
        <v>#N/A</v>
      </c>
      <c r="AF801" s="344"/>
      <c r="AG801" s="359">
        <f t="shared" ca="1" si="375"/>
        <v>6.6507480724390504</v>
      </c>
      <c r="AH801" s="357">
        <f t="shared" ca="1" si="376"/>
        <v>-2.7445769083805973</v>
      </c>
    </row>
    <row r="802" spans="1:34" x14ac:dyDescent="0.25">
      <c r="A802" s="402">
        <f t="shared" ca="1" si="354"/>
        <v>0.1</v>
      </c>
      <c r="B802" s="357">
        <f t="shared" ca="1" si="355"/>
        <v>34.800000000000161</v>
      </c>
      <c r="C802" s="342"/>
      <c r="D802" s="359">
        <f t="shared" ca="1" si="356"/>
        <v>-0.79314146322113499</v>
      </c>
      <c r="E802" s="360">
        <f t="shared" ca="1" si="357"/>
        <v>-7.1451943610230355</v>
      </c>
      <c r="F802" s="357">
        <f t="shared" ca="1" si="358"/>
        <v>7.1890803193089967</v>
      </c>
      <c r="G802" s="359">
        <f t="shared" ca="1" si="359"/>
        <v>32.02520612195012</v>
      </c>
      <c r="H802" s="360">
        <f t="shared" ca="1" si="360"/>
        <v>-108.57964894287906</v>
      </c>
      <c r="I802" s="357">
        <f t="shared" ca="1" si="361"/>
        <v>113.2040369938822</v>
      </c>
      <c r="J802" s="359">
        <f t="shared" ca="1" si="362"/>
        <v>1408.4615608038534</v>
      </c>
      <c r="K802" s="360">
        <f t="shared" ca="1" si="363"/>
        <v>1789.6190393329034</v>
      </c>
      <c r="L802" s="357">
        <f t="shared" ca="1" si="348"/>
        <v>2277.3889158869752</v>
      </c>
      <c r="M802" s="359">
        <f t="shared" ca="1" si="364"/>
        <v>-1.2839820364877947</v>
      </c>
      <c r="N802" s="357">
        <f t="shared" ca="1" si="365"/>
        <v>-73.566751661363114</v>
      </c>
      <c r="O802" s="343"/>
      <c r="P802" s="363">
        <f t="shared" ca="1" si="366"/>
        <v>23</v>
      </c>
      <c r="Q802" s="357">
        <f t="shared" ca="1" si="367"/>
        <v>0</v>
      </c>
      <c r="R802" s="359">
        <f t="shared" ca="1" si="368"/>
        <v>0</v>
      </c>
      <c r="S802" s="360">
        <f t="shared" ca="1" si="369"/>
        <v>10.637999999999975</v>
      </c>
      <c r="T802" s="357">
        <f t="shared" ca="1" si="349"/>
        <v>104.35877999999975</v>
      </c>
      <c r="U802" s="364">
        <f t="shared" ca="1" si="350"/>
        <v>0</v>
      </c>
      <c r="V802" s="359">
        <f t="shared" ca="1" si="351"/>
        <v>1.0237772691917681</v>
      </c>
      <c r="W802" s="357">
        <f t="shared" ca="1" si="352"/>
        <v>29.959147737844685</v>
      </c>
      <c r="X802" s="343"/>
      <c r="Y802" s="367" t="str">
        <f t="shared" ca="1" si="370"/>
        <v/>
      </c>
      <c r="Z802" s="368" t="str">
        <f t="shared" ca="1" si="371"/>
        <v/>
      </c>
      <c r="AA802" s="369" t="str">
        <f t="shared" ca="1" si="372"/>
        <v/>
      </c>
      <c r="AB802" s="344"/>
      <c r="AC802" s="363" t="e">
        <f t="shared" ca="1" si="373"/>
        <v>#N/A</v>
      </c>
      <c r="AD802" s="376" t="e">
        <f t="shared" ca="1" si="374"/>
        <v>#N/A</v>
      </c>
      <c r="AE802" s="377" t="e">
        <f t="shared" ca="1" si="353"/>
        <v>#N/A</v>
      </c>
      <c r="AF802" s="344"/>
      <c r="AG802" s="359">
        <f t="shared" ca="1" si="375"/>
        <v>6.622036958716194</v>
      </c>
      <c r="AH802" s="357">
        <f t="shared" ca="1" si="376"/>
        <v>-2.7803349571956244</v>
      </c>
    </row>
    <row r="803" spans="1:34" x14ac:dyDescent="0.25">
      <c r="A803" s="402">
        <f t="shared" ca="1" si="354"/>
        <v>0.1</v>
      </c>
      <c r="B803" s="357">
        <f t="shared" ca="1" si="355"/>
        <v>34.900000000000162</v>
      </c>
      <c r="C803" s="342"/>
      <c r="D803" s="359">
        <f t="shared" ca="1" si="356"/>
        <v>-0.79670856797621592</v>
      </c>
      <c r="E803" s="360">
        <f t="shared" ca="1" si="357"/>
        <v>-7.1088046886808378</v>
      </c>
      <c r="F803" s="357">
        <f t="shared" ca="1" si="358"/>
        <v>7.1533103276802814</v>
      </c>
      <c r="G803" s="359">
        <f t="shared" ca="1" si="359"/>
        <v>31.945535265152497</v>
      </c>
      <c r="H803" s="360">
        <f t="shared" ca="1" si="360"/>
        <v>-109.29052941174714</v>
      </c>
      <c r="I803" s="357">
        <f t="shared" ca="1" si="361"/>
        <v>113.86367745017314</v>
      </c>
      <c r="J803" s="359">
        <f t="shared" ca="1" si="362"/>
        <v>1411.6600978732085</v>
      </c>
      <c r="K803" s="360">
        <f t="shared" ca="1" si="363"/>
        <v>1778.7255304151722</v>
      </c>
      <c r="L803" s="357">
        <f t="shared" ca="1" si="348"/>
        <v>2270.8255645201225</v>
      </c>
      <c r="M803" s="359">
        <f t="shared" ca="1" si="364"/>
        <v>-1.2864193660179128</v>
      </c>
      <c r="N803" s="357">
        <f t="shared" ca="1" si="365"/>
        <v>-73.706400356721474</v>
      </c>
      <c r="O803" s="343"/>
      <c r="P803" s="363">
        <f t="shared" ca="1" si="366"/>
        <v>23</v>
      </c>
      <c r="Q803" s="357">
        <f t="shared" ca="1" si="367"/>
        <v>0</v>
      </c>
      <c r="R803" s="359">
        <f t="shared" ca="1" si="368"/>
        <v>0</v>
      </c>
      <c r="S803" s="360">
        <f t="shared" ca="1" si="369"/>
        <v>10.637999999999975</v>
      </c>
      <c r="T803" s="357">
        <f t="shared" ca="1" si="349"/>
        <v>104.35877999999975</v>
      </c>
      <c r="U803" s="364">
        <f t="shared" ca="1" si="350"/>
        <v>0</v>
      </c>
      <c r="V803" s="359">
        <f t="shared" ca="1" si="351"/>
        <v>1.0249020859401914</v>
      </c>
      <c r="W803" s="357">
        <f t="shared" ca="1" si="352"/>
        <v>30.342609780722032</v>
      </c>
      <c r="X803" s="343"/>
      <c r="Y803" s="367" t="str">
        <f t="shared" ca="1" si="370"/>
        <v/>
      </c>
      <c r="Z803" s="368" t="str">
        <f t="shared" ca="1" si="371"/>
        <v/>
      </c>
      <c r="AA803" s="369" t="str">
        <f t="shared" ca="1" si="372"/>
        <v/>
      </c>
      <c r="AB803" s="344"/>
      <c r="AC803" s="363" t="e">
        <f t="shared" ca="1" si="373"/>
        <v>#N/A</v>
      </c>
      <c r="AD803" s="376" t="e">
        <f t="shared" ca="1" si="374"/>
        <v>#N/A</v>
      </c>
      <c r="AE803" s="377" t="e">
        <f t="shared" ca="1" si="353"/>
        <v>#N/A</v>
      </c>
      <c r="AF803" s="344"/>
      <c r="AG803" s="359">
        <f t="shared" ca="1" si="375"/>
        <v>6.5930224858697457</v>
      </c>
      <c r="AH803" s="357">
        <f t="shared" ca="1" si="376"/>
        <v>-2.8162387420421839</v>
      </c>
    </row>
    <row r="804" spans="1:34" x14ac:dyDescent="0.25">
      <c r="A804" s="402">
        <f t="shared" ca="1" si="354"/>
        <v>0.1</v>
      </c>
      <c r="B804" s="357">
        <f t="shared" ca="1" si="355"/>
        <v>35.000000000000163</v>
      </c>
      <c r="C804" s="342"/>
      <c r="D804" s="359">
        <f t="shared" ca="1" si="356"/>
        <v>-0.80023567613638436</v>
      </c>
      <c r="E804" s="360">
        <f t="shared" ca="1" si="357"/>
        <v>-7.0722721775297384</v>
      </c>
      <c r="F804" s="357">
        <f t="shared" ca="1" si="358"/>
        <v>7.1174019761723928</v>
      </c>
      <c r="G804" s="359">
        <f t="shared" ca="1" si="359"/>
        <v>31.86551169753886</v>
      </c>
      <c r="H804" s="360">
        <f t="shared" ca="1" si="360"/>
        <v>-109.99775662950012</v>
      </c>
      <c r="I804" s="357">
        <f t="shared" ca="1" si="361"/>
        <v>114.52037940588882</v>
      </c>
      <c r="J804" s="359">
        <f t="shared" ca="1" si="362"/>
        <v>1414.8506502213431</v>
      </c>
      <c r="K804" s="360">
        <f t="shared" ca="1" si="363"/>
        <v>1767.7611161131099</v>
      </c>
      <c r="L804" s="357">
        <f t="shared" ca="1" si="348"/>
        <v>2264.2397677969584</v>
      </c>
      <c r="M804" s="359">
        <f t="shared" ca="1" si="364"/>
        <v>-1.288822686073128</v>
      </c>
      <c r="N804" s="357">
        <f t="shared" ca="1" si="365"/>
        <v>-73.844100452704453</v>
      </c>
      <c r="O804" s="343"/>
      <c r="P804" s="363">
        <f t="shared" ca="1" si="366"/>
        <v>23</v>
      </c>
      <c r="Q804" s="357">
        <f t="shared" ca="1" si="367"/>
        <v>0</v>
      </c>
      <c r="R804" s="359">
        <f t="shared" ca="1" si="368"/>
        <v>0</v>
      </c>
      <c r="S804" s="360">
        <f t="shared" ca="1" si="369"/>
        <v>10.637999999999975</v>
      </c>
      <c r="T804" s="357">
        <f t="shared" ca="1" si="349"/>
        <v>104.35877999999975</v>
      </c>
      <c r="U804" s="364">
        <f t="shared" ca="1" si="350"/>
        <v>0</v>
      </c>
      <c r="V804" s="359">
        <f t="shared" ca="1" si="351"/>
        <v>1.0260353609002453</v>
      </c>
      <c r="W804" s="357">
        <f t="shared" ca="1" si="352"/>
        <v>30.727556608038583</v>
      </c>
      <c r="X804" s="343"/>
      <c r="Y804" s="367" t="str">
        <f t="shared" ca="1" si="370"/>
        <v/>
      </c>
      <c r="Z804" s="368" t="str">
        <f t="shared" ca="1" si="371"/>
        <v/>
      </c>
      <c r="AA804" s="369" t="str">
        <f t="shared" ca="1" si="372"/>
        <v/>
      </c>
      <c r="AB804" s="344"/>
      <c r="AC804" s="363">
        <f t="shared" ca="1" si="373"/>
        <v>35.000000000000163</v>
      </c>
      <c r="AD804" s="376">
        <f t="shared" ca="1" si="374"/>
        <v>1414.8506502213431</v>
      </c>
      <c r="AE804" s="377" t="e">
        <f t="shared" ca="1" si="353"/>
        <v>#N/A</v>
      </c>
      <c r="AF804" s="344"/>
      <c r="AG804" s="359">
        <f t="shared" ca="1" si="375"/>
        <v>6.5637122403744241</v>
      </c>
      <c r="AH804" s="357">
        <f t="shared" ca="1" si="376"/>
        <v>-2.8522851833730121</v>
      </c>
    </row>
    <row r="805" spans="1:34" x14ac:dyDescent="0.25">
      <c r="A805" s="402">
        <f t="shared" ca="1" si="354"/>
        <v>0.1</v>
      </c>
      <c r="B805" s="357">
        <f t="shared" ca="1" si="355"/>
        <v>35.100000000000165</v>
      </c>
      <c r="C805" s="342"/>
      <c r="D805" s="359">
        <f t="shared" ca="1" si="356"/>
        <v>-0.80372256218937366</v>
      </c>
      <c r="E805" s="360">
        <f t="shared" ca="1" si="357"/>
        <v>-7.0355999014704942</v>
      </c>
      <c r="F805" s="357">
        <f t="shared" ca="1" si="358"/>
        <v>7.0813583393685056</v>
      </c>
      <c r="G805" s="359">
        <f t="shared" ca="1" si="359"/>
        <v>31.785139441319924</v>
      </c>
      <c r="H805" s="360">
        <f t="shared" ca="1" si="360"/>
        <v>-110.70131661964717</v>
      </c>
      <c r="I805" s="357">
        <f t="shared" ca="1" si="361"/>
        <v>115.17411423851942</v>
      </c>
      <c r="J805" s="359">
        <f t="shared" ca="1" si="362"/>
        <v>1418.0331827782861</v>
      </c>
      <c r="K805" s="360">
        <f t="shared" ca="1" si="363"/>
        <v>1756.7261624506525</v>
      </c>
      <c r="L805" s="357">
        <f t="shared" ca="1" si="348"/>
        <v>2257.6325912997695</v>
      </c>
      <c r="M805" s="359">
        <f t="shared" ca="1" si="364"/>
        <v>-1.2911927095695725</v>
      </c>
      <c r="N805" s="357">
        <f t="shared" ca="1" si="365"/>
        <v>-73.979892796397564</v>
      </c>
      <c r="O805" s="343"/>
      <c r="P805" s="363">
        <f t="shared" ca="1" si="366"/>
        <v>23</v>
      </c>
      <c r="Q805" s="357">
        <f t="shared" ca="1" si="367"/>
        <v>0</v>
      </c>
      <c r="R805" s="359">
        <f t="shared" ca="1" si="368"/>
        <v>0</v>
      </c>
      <c r="S805" s="360">
        <f t="shared" ca="1" si="369"/>
        <v>10.637999999999975</v>
      </c>
      <c r="T805" s="357">
        <f t="shared" ca="1" si="349"/>
        <v>104.35877999999975</v>
      </c>
      <c r="U805" s="364">
        <f t="shared" ca="1" si="350"/>
        <v>0</v>
      </c>
      <c r="V805" s="359">
        <f t="shared" ca="1" si="351"/>
        <v>1.0271770800502042</v>
      </c>
      <c r="W805" s="357">
        <f t="shared" ca="1" si="352"/>
        <v>31.113955394213967</v>
      </c>
      <c r="X805" s="343"/>
      <c r="Y805" s="367" t="str">
        <f t="shared" ca="1" si="370"/>
        <v/>
      </c>
      <c r="Z805" s="368" t="str">
        <f t="shared" ca="1" si="371"/>
        <v/>
      </c>
      <c r="AA805" s="369" t="str">
        <f t="shared" ca="1" si="372"/>
        <v/>
      </c>
      <c r="AB805" s="344"/>
      <c r="AC805" s="363" t="e">
        <f t="shared" ca="1" si="373"/>
        <v>#N/A</v>
      </c>
      <c r="AD805" s="376" t="e">
        <f t="shared" ca="1" si="374"/>
        <v>#N/A</v>
      </c>
      <c r="AE805" s="377" t="e">
        <f t="shared" ca="1" si="353"/>
        <v>#N/A</v>
      </c>
      <c r="AF805" s="344"/>
      <c r="AG805" s="359">
        <f t="shared" ca="1" si="375"/>
        <v>6.5341136562719662</v>
      </c>
      <c r="AH805" s="357">
        <f t="shared" ca="1" si="376"/>
        <v>-2.8884711983491873</v>
      </c>
    </row>
    <row r="806" spans="1:34" x14ac:dyDescent="0.25">
      <c r="A806" s="402">
        <f t="shared" ca="1" si="354"/>
        <v>0.1</v>
      </c>
      <c r="B806" s="357">
        <f t="shared" ca="1" si="355"/>
        <v>35.200000000000166</v>
      </c>
      <c r="C806" s="342"/>
      <c r="D806" s="359">
        <f t="shared" ca="1" si="356"/>
        <v>-0.80716900882559195</v>
      </c>
      <c r="E806" s="360">
        <f t="shared" ca="1" si="357"/>
        <v>-6.998790938717427</v>
      </c>
      <c r="F806" s="357">
        <f t="shared" ca="1" si="358"/>
        <v>7.045182496762</v>
      </c>
      <c r="G806" s="359">
        <f t="shared" ca="1" si="359"/>
        <v>31.704422540437363</v>
      </c>
      <c r="H806" s="360">
        <f t="shared" ca="1" si="360"/>
        <v>-111.40119571351892</v>
      </c>
      <c r="I806" s="357">
        <f t="shared" ca="1" si="361"/>
        <v>115.82485404706685</v>
      </c>
      <c r="J806" s="359">
        <f t="shared" ca="1" si="362"/>
        <v>1421.2076608773739</v>
      </c>
      <c r="K806" s="360">
        <f t="shared" ca="1" si="363"/>
        <v>1745.6210368339941</v>
      </c>
      <c r="L806" s="357">
        <f t="shared" ca="1" si="348"/>
        <v>2251.0051131825367</v>
      </c>
      <c r="M806" s="359">
        <f t="shared" ca="1" si="364"/>
        <v>-1.293530130245429</v>
      </c>
      <c r="N806" s="357">
        <f t="shared" ca="1" si="365"/>
        <v>-74.11381713607075</v>
      </c>
      <c r="O806" s="343"/>
      <c r="P806" s="363">
        <f t="shared" ca="1" si="366"/>
        <v>23</v>
      </c>
      <c r="Q806" s="357">
        <f t="shared" ca="1" si="367"/>
        <v>0</v>
      </c>
      <c r="R806" s="359">
        <f t="shared" ca="1" si="368"/>
        <v>0</v>
      </c>
      <c r="S806" s="360">
        <f t="shared" ca="1" si="369"/>
        <v>10.637999999999975</v>
      </c>
      <c r="T806" s="357">
        <f t="shared" ca="1" si="349"/>
        <v>104.35877999999975</v>
      </c>
      <c r="U806" s="364">
        <f t="shared" ca="1" si="350"/>
        <v>0</v>
      </c>
      <c r="V806" s="359">
        <f t="shared" ca="1" si="351"/>
        <v>1.0283272292845058</v>
      </c>
      <c r="W806" s="357">
        <f t="shared" ca="1" si="352"/>
        <v>31.501773288004159</v>
      </c>
      <c r="X806" s="343"/>
      <c r="Y806" s="367" t="str">
        <f t="shared" ca="1" si="370"/>
        <v/>
      </c>
      <c r="Z806" s="368" t="str">
        <f t="shared" ca="1" si="371"/>
        <v/>
      </c>
      <c r="AA806" s="369" t="str">
        <f t="shared" ca="1" si="372"/>
        <v/>
      </c>
      <c r="AB806" s="344"/>
      <c r="AC806" s="363" t="e">
        <f t="shared" ca="1" si="373"/>
        <v>#N/A</v>
      </c>
      <c r="AD806" s="376" t="e">
        <f t="shared" ca="1" si="374"/>
        <v>#N/A</v>
      </c>
      <c r="AE806" s="377" t="e">
        <f t="shared" ca="1" si="353"/>
        <v>#N/A</v>
      </c>
      <c r="AF806" s="344"/>
      <c r="AG806" s="359">
        <f t="shared" ca="1" si="375"/>
        <v>6.504234020954188</v>
      </c>
      <c r="AH806" s="357">
        <f t="shared" ca="1" si="376"/>
        <v>-2.9247937012797558</v>
      </c>
    </row>
    <row r="807" spans="1:34" x14ac:dyDescent="0.25">
      <c r="A807" s="402">
        <f t="shared" ca="1" si="354"/>
        <v>0.1</v>
      </c>
      <c r="B807" s="357">
        <f t="shared" ca="1" si="355"/>
        <v>35.300000000000168</v>
      </c>
      <c r="C807" s="342"/>
      <c r="D807" s="359">
        <f t="shared" ca="1" si="356"/>
        <v>-0.81057480682610183</v>
      </c>
      <c r="E807" s="360">
        <f t="shared" ca="1" si="357"/>
        <v>-6.961848371295499</v>
      </c>
      <c r="F807" s="357">
        <f t="shared" ca="1" si="358"/>
        <v>7.008877532270839</v>
      </c>
      <c r="G807" s="359">
        <f t="shared" ca="1" si="359"/>
        <v>31.623365059754754</v>
      </c>
      <c r="H807" s="360">
        <f t="shared" ca="1" si="360"/>
        <v>-112.09738055064847</v>
      </c>
      <c r="I807" s="357">
        <f t="shared" ca="1" si="361"/>
        <v>116.47257163821627</v>
      </c>
      <c r="J807" s="359">
        <f t="shared" ca="1" si="362"/>
        <v>1424.3740502573835</v>
      </c>
      <c r="K807" s="360">
        <f t="shared" ca="1" si="363"/>
        <v>1734.4461080207857</v>
      </c>
      <c r="L807" s="357">
        <f t="shared" ca="1" si="348"/>
        <v>2244.3584242885704</v>
      </c>
      <c r="M807" s="359">
        <f t="shared" ca="1" si="364"/>
        <v>-1.2958356232744432</v>
      </c>
      <c r="N807" s="357">
        <f t="shared" ca="1" si="365"/>
        <v>-74.245912156330107</v>
      </c>
      <c r="O807" s="343"/>
      <c r="P807" s="363">
        <f t="shared" ca="1" si="366"/>
        <v>23</v>
      </c>
      <c r="Q807" s="357">
        <f t="shared" ca="1" si="367"/>
        <v>0</v>
      </c>
      <c r="R807" s="359">
        <f t="shared" ca="1" si="368"/>
        <v>0</v>
      </c>
      <c r="S807" s="360">
        <f t="shared" ca="1" si="369"/>
        <v>10.637999999999975</v>
      </c>
      <c r="T807" s="357">
        <f t="shared" ca="1" si="349"/>
        <v>104.35877999999975</v>
      </c>
      <c r="U807" s="364">
        <f t="shared" ca="1" si="350"/>
        <v>0</v>
      </c>
      <c r="V807" s="359">
        <f t="shared" ca="1" si="351"/>
        <v>1.0294857944144828</v>
      </c>
      <c r="W807" s="357">
        <f t="shared" ca="1" si="352"/>
        <v>31.89097741717563</v>
      </c>
      <c r="X807" s="343"/>
      <c r="Y807" s="367" t="str">
        <f t="shared" ca="1" si="370"/>
        <v/>
      </c>
      <c r="Z807" s="368" t="str">
        <f t="shared" ca="1" si="371"/>
        <v/>
      </c>
      <c r="AA807" s="369" t="str">
        <f t="shared" ca="1" si="372"/>
        <v/>
      </c>
      <c r="AB807" s="344"/>
      <c r="AC807" s="363" t="e">
        <f t="shared" ca="1" si="373"/>
        <v>#N/A</v>
      </c>
      <c r="AD807" s="376" t="e">
        <f t="shared" ca="1" si="374"/>
        <v>#N/A</v>
      </c>
      <c r="AE807" s="377" t="e">
        <f t="shared" ca="1" si="353"/>
        <v>#N/A</v>
      </c>
      <c r="AF807" s="344"/>
      <c r="AG807" s="359">
        <f t="shared" ca="1" si="375"/>
        <v>6.4740804806675598</v>
      </c>
      <c r="AH807" s="357">
        <f t="shared" ca="1" si="376"/>
        <v>-2.9612496040613117</v>
      </c>
    </row>
    <row r="808" spans="1:34" x14ac:dyDescent="0.25">
      <c r="A808" s="402">
        <f t="shared" ca="1" si="354"/>
        <v>0.1</v>
      </c>
      <c r="B808" s="357">
        <f t="shared" ca="1" si="355"/>
        <v>35.400000000000169</v>
      </c>
      <c r="C808" s="342"/>
      <c r="D808" s="359">
        <f t="shared" ca="1" si="356"/>
        <v>-0.81393975495423621</v>
      </c>
      <c r="E808" s="360">
        <f t="shared" ca="1" si="357"/>
        <v>-6.9247752845403809</v>
      </c>
      <c r="F808" s="357">
        <f t="shared" ca="1" si="358"/>
        <v>6.9724465337552983</v>
      </c>
      <c r="G808" s="359">
        <f t="shared" ca="1" si="359"/>
        <v>31.54197108425933</v>
      </c>
      <c r="H808" s="360">
        <f t="shared" ca="1" si="360"/>
        <v>-112.7898580791025</v>
      </c>
      <c r="I808" s="357">
        <f t="shared" ca="1" si="361"/>
        <v>117.11724051301898</v>
      </c>
      <c r="J808" s="359">
        <f t="shared" ca="1" si="362"/>
        <v>1427.5323170645843</v>
      </c>
      <c r="K808" s="360">
        <f t="shared" ca="1" si="363"/>
        <v>1723.2017460892982</v>
      </c>
      <c r="L808" s="357">
        <f t="shared" ca="1" si="348"/>
        <v>2237.6936282675042</v>
      </c>
      <c r="M808" s="359">
        <f t="shared" ca="1" si="364"/>
        <v>-1.2981098458571827</v>
      </c>
      <c r="N808" s="357">
        <f t="shared" ca="1" si="365"/>
        <v>-74.376215511994417</v>
      </c>
      <c r="O808" s="343"/>
      <c r="P808" s="363">
        <f t="shared" ca="1" si="366"/>
        <v>23</v>
      </c>
      <c r="Q808" s="357">
        <f t="shared" ca="1" si="367"/>
        <v>0</v>
      </c>
      <c r="R808" s="359">
        <f t="shared" ca="1" si="368"/>
        <v>0</v>
      </c>
      <c r="S808" s="360">
        <f t="shared" ca="1" si="369"/>
        <v>10.637999999999975</v>
      </c>
      <c r="T808" s="357">
        <f t="shared" ca="1" si="349"/>
        <v>104.35877999999975</v>
      </c>
      <c r="U808" s="364">
        <f t="shared" ca="1" si="350"/>
        <v>0</v>
      </c>
      <c r="V808" s="359">
        <f t="shared" ca="1" si="351"/>
        <v>1.0306527611691121</v>
      </c>
      <c r="W808" s="357">
        <f t="shared" ca="1" si="352"/>
        <v>32.28153489317662</v>
      </c>
      <c r="X808" s="343"/>
      <c r="Y808" s="367" t="str">
        <f t="shared" ca="1" si="370"/>
        <v/>
      </c>
      <c r="Z808" s="368" t="str">
        <f t="shared" ca="1" si="371"/>
        <v/>
      </c>
      <c r="AA808" s="369" t="str">
        <f t="shared" ca="1" si="372"/>
        <v/>
      </c>
      <c r="AB808" s="344"/>
      <c r="AC808" s="363" t="e">
        <f t="shared" ca="1" si="373"/>
        <v>#N/A</v>
      </c>
      <c r="AD808" s="376" t="e">
        <f t="shared" ca="1" si="374"/>
        <v>#N/A</v>
      </c>
      <c r="AE808" s="377" t="e">
        <f t="shared" ca="1" si="353"/>
        <v>#N/A</v>
      </c>
      <c r="AF808" s="344"/>
      <c r="AG808" s="359">
        <f t="shared" ca="1" si="375"/>
        <v>6.44366004575304</v>
      </c>
      <c r="AH808" s="357">
        <f t="shared" ca="1" si="376"/>
        <v>-2.9978358166173815</v>
      </c>
    </row>
    <row r="809" spans="1:34" x14ac:dyDescent="0.25">
      <c r="A809" s="402">
        <f t="shared" ca="1" si="354"/>
        <v>0.1</v>
      </c>
      <c r="B809" s="357">
        <f t="shared" ca="1" si="355"/>
        <v>35.500000000000171</v>
      </c>
      <c r="C809" s="342"/>
      <c r="D809" s="359">
        <f t="shared" ca="1" si="356"/>
        <v>-0.81726365985067351</v>
      </c>
      <c r="E809" s="360">
        <f t="shared" ca="1" si="357"/>
        <v>-6.8875747666014995</v>
      </c>
      <c r="F809" s="357">
        <f t="shared" ca="1" si="358"/>
        <v>6.9358925925390613</v>
      </c>
      <c r="G809" s="359">
        <f t="shared" ca="1" si="359"/>
        <v>31.460244718274264</v>
      </c>
      <c r="H809" s="360">
        <f t="shared" ca="1" si="360"/>
        <v>-113.47861555576264</v>
      </c>
      <c r="I809" s="357">
        <f t="shared" ca="1" si="361"/>
        <v>117.75883485406214</v>
      </c>
      <c r="J809" s="359">
        <f t="shared" ca="1" si="362"/>
        <v>1430.682427854711</v>
      </c>
      <c r="K809" s="360">
        <f t="shared" ca="1" si="363"/>
        <v>1711.8883224075551</v>
      </c>
      <c r="L809" s="357">
        <f t="shared" ca="1" si="348"/>
        <v>2231.0118416914784</v>
      </c>
      <c r="M809" s="359">
        <f t="shared" ca="1" si="364"/>
        <v>-1.3003534377909167</v>
      </c>
      <c r="N809" s="357">
        <f t="shared" ca="1" si="365"/>
        <v>-74.504763860746976</v>
      </c>
      <c r="O809" s="343"/>
      <c r="P809" s="363">
        <f t="shared" ca="1" si="366"/>
        <v>23</v>
      </c>
      <c r="Q809" s="357">
        <f t="shared" ca="1" si="367"/>
        <v>0</v>
      </c>
      <c r="R809" s="359">
        <f t="shared" ca="1" si="368"/>
        <v>0</v>
      </c>
      <c r="S809" s="360">
        <f t="shared" ca="1" si="369"/>
        <v>10.637999999999975</v>
      </c>
      <c r="T809" s="357">
        <f t="shared" ca="1" si="349"/>
        <v>104.35877999999975</v>
      </c>
      <c r="U809" s="364">
        <f t="shared" ca="1" si="350"/>
        <v>0</v>
      </c>
      <c r="V809" s="359">
        <f t="shared" ca="1" si="351"/>
        <v>1.031828115195766</v>
      </c>
      <c r="W809" s="357">
        <f t="shared" ca="1" si="352"/>
        <v>32.673412815804049</v>
      </c>
      <c r="X809" s="343"/>
      <c r="Y809" s="367" t="str">
        <f t="shared" ca="1" si="370"/>
        <v/>
      </c>
      <c r="Z809" s="368" t="str">
        <f t="shared" ca="1" si="371"/>
        <v/>
      </c>
      <c r="AA809" s="369" t="str">
        <f t="shared" ca="1" si="372"/>
        <v/>
      </c>
      <c r="AB809" s="344"/>
      <c r="AC809" s="363" t="e">
        <f t="shared" ca="1" si="373"/>
        <v>#N/A</v>
      </c>
      <c r="AD809" s="376" t="e">
        <f t="shared" ca="1" si="374"/>
        <v>#N/A</v>
      </c>
      <c r="AE809" s="377" t="e">
        <f t="shared" ca="1" si="353"/>
        <v>#N/A</v>
      </c>
      <c r="AF809" s="344"/>
      <c r="AG809" s="359">
        <f t="shared" ca="1" si="375"/>
        <v>6.4129795956341225</v>
      </c>
      <c r="AH809" s="357">
        <f t="shared" ca="1" si="376"/>
        <v>-3.0345492473375346</v>
      </c>
    </row>
    <row r="810" spans="1:34" x14ac:dyDescent="0.25">
      <c r="A810" s="402">
        <f t="shared" ca="1" si="354"/>
        <v>0.1</v>
      </c>
      <c r="B810" s="357">
        <f t="shared" ca="1" si="355"/>
        <v>35.600000000000172</v>
      </c>
      <c r="C810" s="342"/>
      <c r="D810" s="359">
        <f t="shared" ca="1" si="356"/>
        <v>-0.82054633593176229</v>
      </c>
      <c r="E810" s="360">
        <f t="shared" ca="1" si="357"/>
        <v>-6.8502499079480179</v>
      </c>
      <c r="F810" s="357">
        <f t="shared" ca="1" si="358"/>
        <v>6.8992188029336248</v>
      </c>
      <c r="G810" s="359">
        <f t="shared" ca="1" si="359"/>
        <v>31.378190084681087</v>
      </c>
      <c r="H810" s="360">
        <f t="shared" ca="1" si="360"/>
        <v>-114.16364054655745</v>
      </c>
      <c r="I810" s="357">
        <f t="shared" ca="1" si="361"/>
        <v>118.39732951310158</v>
      </c>
      <c r="J810" s="359">
        <f t="shared" ca="1" si="362"/>
        <v>1433.8243495948589</v>
      </c>
      <c r="K810" s="360">
        <f t="shared" ca="1" si="363"/>
        <v>1700.506209602439</v>
      </c>
      <c r="L810" s="357">
        <f t="shared" ca="1" si="348"/>
        <v>2224.3141941703234</v>
      </c>
      <c r="M810" s="359">
        <f t="shared" ca="1" si="364"/>
        <v>-1.3025670220189591</v>
      </c>
      <c r="N810" s="357">
        <f t="shared" ca="1" si="365"/>
        <v>-74.631592894610534</v>
      </c>
      <c r="O810" s="343"/>
      <c r="P810" s="363">
        <f t="shared" ca="1" si="366"/>
        <v>23</v>
      </c>
      <c r="Q810" s="357">
        <f t="shared" ca="1" si="367"/>
        <v>0</v>
      </c>
      <c r="R810" s="359">
        <f t="shared" ca="1" si="368"/>
        <v>0</v>
      </c>
      <c r="S810" s="360">
        <f t="shared" ca="1" si="369"/>
        <v>10.637999999999975</v>
      </c>
      <c r="T810" s="357">
        <f t="shared" ca="1" si="349"/>
        <v>104.35877999999975</v>
      </c>
      <c r="U810" s="364">
        <f t="shared" ca="1" si="350"/>
        <v>0</v>
      </c>
      <c r="V810" s="359">
        <f t="shared" ca="1" si="351"/>
        <v>1.0330118420609737</v>
      </c>
      <c r="W810" s="357">
        <f t="shared" ca="1" si="352"/>
        <v>33.066578277864906</v>
      </c>
      <c r="X810" s="343"/>
      <c r="Y810" s="367" t="str">
        <f t="shared" ca="1" si="370"/>
        <v/>
      </c>
      <c r="Z810" s="368" t="str">
        <f t="shared" ca="1" si="371"/>
        <v/>
      </c>
      <c r="AA810" s="369" t="str">
        <f t="shared" ca="1" si="372"/>
        <v/>
      </c>
      <c r="AB810" s="344"/>
      <c r="AC810" s="363" t="e">
        <f t="shared" ca="1" si="373"/>
        <v>#N/A</v>
      </c>
      <c r="AD810" s="376" t="e">
        <f t="shared" ca="1" si="374"/>
        <v>#N/A</v>
      </c>
      <c r="AE810" s="377" t="e">
        <f t="shared" ca="1" si="353"/>
        <v>#N/A</v>
      </c>
      <c r="AF810" s="344"/>
      <c r="AG810" s="359">
        <f t="shared" ca="1" si="375"/>
        <v>6.3820458835654854</v>
      </c>
      <c r="AH810" s="357">
        <f t="shared" ca="1" si="376"/>
        <v>-3.0713868035160861</v>
      </c>
    </row>
    <row r="811" spans="1:34" x14ac:dyDescent="0.25">
      <c r="A811" s="402">
        <f t="shared" ca="1" si="354"/>
        <v>0.1</v>
      </c>
      <c r="B811" s="357">
        <f t="shared" ca="1" si="355"/>
        <v>35.700000000000173</v>
      </c>
      <c r="C811" s="342"/>
      <c r="D811" s="359">
        <f t="shared" ca="1" si="356"/>
        <v>-0.82378760529091977</v>
      </c>
      <c r="E811" s="360">
        <f t="shared" ca="1" si="357"/>
        <v>-6.8128038008777416</v>
      </c>
      <c r="F811" s="357">
        <f t="shared" ca="1" si="358"/>
        <v>6.8624282617660315</v>
      </c>
      <c r="G811" s="359">
        <f t="shared" ca="1" si="359"/>
        <v>31.295811324151995</v>
      </c>
      <c r="H811" s="360">
        <f t="shared" ca="1" si="360"/>
        <v>-114.84492092664522</v>
      </c>
      <c r="I811" s="357">
        <f t="shared" ca="1" si="361"/>
        <v>119.032699999136</v>
      </c>
      <c r="J811" s="359">
        <f t="shared" ca="1" si="362"/>
        <v>1436.9580496653005</v>
      </c>
      <c r="K811" s="360">
        <f t="shared" ca="1" si="363"/>
        <v>1689.0557815287789</v>
      </c>
      <c r="L811" s="357">
        <f t="shared" ca="1" si="348"/>
        <v>2217.6018284655379</v>
      </c>
      <c r="M811" s="359">
        <f t="shared" ca="1" si="364"/>
        <v>-1.3047512051602819</v>
      </c>
      <c r="N811" s="357">
        <f t="shared" ca="1" si="365"/>
        <v>-74.756737370291944</v>
      </c>
      <c r="O811" s="343"/>
      <c r="P811" s="363">
        <f t="shared" ca="1" si="366"/>
        <v>23</v>
      </c>
      <c r="Q811" s="357">
        <f t="shared" ca="1" si="367"/>
        <v>0</v>
      </c>
      <c r="R811" s="359">
        <f t="shared" ca="1" si="368"/>
        <v>0</v>
      </c>
      <c r="S811" s="360">
        <f t="shared" ca="1" si="369"/>
        <v>10.637999999999975</v>
      </c>
      <c r="T811" s="357">
        <f t="shared" ca="1" si="349"/>
        <v>104.35877999999975</v>
      </c>
      <c r="U811" s="364">
        <f t="shared" ca="1" si="350"/>
        <v>0</v>
      </c>
      <c r="V811" s="359">
        <f t="shared" ca="1" si="351"/>
        <v>1.0342039272511927</v>
      </c>
      <c r="W811" s="357">
        <f t="shared" ca="1" si="352"/>
        <v>33.46099836983111</v>
      </c>
      <c r="X811" s="343"/>
      <c r="Y811" s="367" t="str">
        <f t="shared" ca="1" si="370"/>
        <v/>
      </c>
      <c r="Z811" s="368" t="str">
        <f t="shared" ca="1" si="371"/>
        <v/>
      </c>
      <c r="AA811" s="369" t="str">
        <f t="shared" ca="1" si="372"/>
        <v/>
      </c>
      <c r="AB811" s="344"/>
      <c r="AC811" s="363" t="e">
        <f t="shared" ca="1" si="373"/>
        <v>#N/A</v>
      </c>
      <c r="AD811" s="376" t="e">
        <f t="shared" ca="1" si="374"/>
        <v>#N/A</v>
      </c>
      <c r="AE811" s="377" t="e">
        <f t="shared" ca="1" si="353"/>
        <v>#N/A</v>
      </c>
      <c r="AF811" s="344"/>
      <c r="AG811" s="359">
        <f t="shared" ca="1" si="375"/>
        <v>6.3508655411539312</v>
      </c>
      <c r="AH811" s="357">
        <f t="shared" ca="1" si="376"/>
        <v>-3.1083453917902788</v>
      </c>
    </row>
    <row r="812" spans="1:34" x14ac:dyDescent="0.25">
      <c r="A812" s="402">
        <f t="shared" ca="1" si="354"/>
        <v>0.1</v>
      </c>
      <c r="B812" s="357">
        <f t="shared" ca="1" si="355"/>
        <v>35.800000000000175</v>
      </c>
      <c r="C812" s="342"/>
      <c r="D812" s="359">
        <f t="shared" ca="1" si="356"/>
        <v>-0.82698729760292033</v>
      </c>
      <c r="E812" s="360">
        <f t="shared" ca="1" si="357"/>
        <v>-6.775239539028922</v>
      </c>
      <c r="F812" s="357">
        <f t="shared" ca="1" si="358"/>
        <v>6.8255240679099085</v>
      </c>
      <c r="G812" s="359">
        <f t="shared" ca="1" si="359"/>
        <v>31.213112594391703</v>
      </c>
      <c r="H812" s="360">
        <f t="shared" ca="1" si="360"/>
        <v>-115.52244488054811</v>
      </c>
      <c r="I812" s="357">
        <f t="shared" ca="1" si="361"/>
        <v>119.66492246690109</v>
      </c>
      <c r="J812" s="359">
        <f t="shared" ca="1" si="362"/>
        <v>1440.0834958612277</v>
      </c>
      <c r="K812" s="360">
        <f t="shared" ca="1" si="363"/>
        <v>1677.5374132384193</v>
      </c>
      <c r="L812" s="357">
        <f t="shared" ca="1" si="348"/>
        <v>2210.8759006028677</v>
      </c>
      <c r="M812" s="359">
        <f t="shared" ca="1" si="364"/>
        <v>-1.3069065780201679</v>
      </c>
      <c r="N812" s="357">
        <f t="shared" ca="1" si="365"/>
        <v>-74.880231138440465</v>
      </c>
      <c r="O812" s="343"/>
      <c r="P812" s="363">
        <f t="shared" ca="1" si="366"/>
        <v>23</v>
      </c>
      <c r="Q812" s="357">
        <f t="shared" ca="1" si="367"/>
        <v>0</v>
      </c>
      <c r="R812" s="359">
        <f t="shared" ca="1" si="368"/>
        <v>0</v>
      </c>
      <c r="S812" s="360">
        <f t="shared" ca="1" si="369"/>
        <v>10.637999999999975</v>
      </c>
      <c r="T812" s="357">
        <f t="shared" ca="1" si="349"/>
        <v>104.35877999999975</v>
      </c>
      <c r="U812" s="364">
        <f t="shared" ca="1" si="350"/>
        <v>0</v>
      </c>
      <c r="V812" s="359">
        <f t="shared" ca="1" si="351"/>
        <v>1.0354043561735855</v>
      </c>
      <c r="W812" s="357">
        <f t="shared" ca="1" si="352"/>
        <v>33.856640184486508</v>
      </c>
      <c r="X812" s="343"/>
      <c r="Y812" s="367" t="str">
        <f t="shared" ca="1" si="370"/>
        <v/>
      </c>
      <c r="Z812" s="368" t="str">
        <f t="shared" ca="1" si="371"/>
        <v/>
      </c>
      <c r="AA812" s="369" t="str">
        <f t="shared" ca="1" si="372"/>
        <v/>
      </c>
      <c r="AB812" s="344"/>
      <c r="AC812" s="363" t="e">
        <f t="shared" ca="1" si="373"/>
        <v>#N/A</v>
      </c>
      <c r="AD812" s="376" t="e">
        <f t="shared" ca="1" si="374"/>
        <v>#N/A</v>
      </c>
      <c r="AE812" s="377" t="e">
        <f t="shared" ca="1" si="353"/>
        <v>#N/A</v>
      </c>
      <c r="AF812" s="344"/>
      <c r="AG812" s="359">
        <f t="shared" ca="1" si="375"/>
        <v>6.3194450826627078</v>
      </c>
      <c r="AH812" s="357">
        <f t="shared" ca="1" si="376"/>
        <v>-3.1454219185778518</v>
      </c>
    </row>
    <row r="813" spans="1:34" x14ac:dyDescent="0.25">
      <c r="A813" s="402">
        <f t="shared" ca="1" si="354"/>
        <v>0.1</v>
      </c>
      <c r="B813" s="357">
        <f t="shared" ca="1" si="355"/>
        <v>35.900000000000176</v>
      </c>
      <c r="C813" s="342"/>
      <c r="D813" s="359">
        <f t="shared" ca="1" si="356"/>
        <v>-0.8301452500309261</v>
      </c>
      <c r="E813" s="360">
        <f t="shared" ca="1" si="357"/>
        <v>-6.7375602168949449</v>
      </c>
      <c r="F813" s="357">
        <f t="shared" ca="1" si="358"/>
        <v>6.788509321819804</v>
      </c>
      <c r="G813" s="359">
        <f t="shared" ca="1" si="359"/>
        <v>31.130098069388609</v>
      </c>
      <c r="H813" s="360">
        <f t="shared" ca="1" si="360"/>
        <v>-116.19620090223761</v>
      </c>
      <c r="I813" s="357">
        <f t="shared" ca="1" si="361"/>
        <v>120.29397370576349</v>
      </c>
      <c r="J813" s="359">
        <f t="shared" ca="1" si="362"/>
        <v>1443.2006563944167</v>
      </c>
      <c r="K813" s="360">
        <f t="shared" ca="1" si="363"/>
        <v>1665.95148094928</v>
      </c>
      <c r="L813" s="357">
        <f t="shared" ca="1" si="348"/>
        <v>2204.1375799832404</v>
      </c>
      <c r="M813" s="359">
        <f t="shared" ca="1" si="364"/>
        <v>-1.3090337160826502</v>
      </c>
      <c r="N813" s="357">
        <f t="shared" ca="1" si="365"/>
        <v>-75.002107171862335</v>
      </c>
      <c r="O813" s="343"/>
      <c r="P813" s="363">
        <f t="shared" ca="1" si="366"/>
        <v>23</v>
      </c>
      <c r="Q813" s="357">
        <f t="shared" ca="1" si="367"/>
        <v>0</v>
      </c>
      <c r="R813" s="359">
        <f t="shared" ca="1" si="368"/>
        <v>0</v>
      </c>
      <c r="S813" s="360">
        <f t="shared" ca="1" si="369"/>
        <v>10.637999999999975</v>
      </c>
      <c r="T813" s="357">
        <f t="shared" ca="1" si="349"/>
        <v>104.35877999999975</v>
      </c>
      <c r="U813" s="364">
        <f t="shared" ca="1" si="350"/>
        <v>0</v>
      </c>
      <c r="V813" s="359">
        <f t="shared" ca="1" si="351"/>
        <v>1.0366131141568078</v>
      </c>
      <c r="W813" s="357">
        <f t="shared" ca="1" si="352"/>
        <v>34.253470821564733</v>
      </c>
      <c r="X813" s="343"/>
      <c r="Y813" s="367" t="str">
        <f t="shared" ca="1" si="370"/>
        <v/>
      </c>
      <c r="Z813" s="368" t="str">
        <f t="shared" ca="1" si="371"/>
        <v/>
      </c>
      <c r="AA813" s="369" t="str">
        <f t="shared" ca="1" si="372"/>
        <v/>
      </c>
      <c r="AB813" s="344"/>
      <c r="AC813" s="363" t="e">
        <f t="shared" ca="1" si="373"/>
        <v>#N/A</v>
      </c>
      <c r="AD813" s="376" t="e">
        <f t="shared" ca="1" si="374"/>
        <v>#N/A</v>
      </c>
      <c r="AE813" s="377" t="e">
        <f t="shared" ca="1" si="353"/>
        <v>#N/A</v>
      </c>
      <c r="AF813" s="344"/>
      <c r="AG813" s="359">
        <f t="shared" ca="1" si="375"/>
        <v>6.2877909091097628</v>
      </c>
      <c r="AH813" s="357">
        <f t="shared" ca="1" si="376"/>
        <v>-3.1826132905138738</v>
      </c>
    </row>
    <row r="814" spans="1:34" x14ac:dyDescent="0.25">
      <c r="A814" s="402">
        <f t="shared" ca="1" si="354"/>
        <v>0.1</v>
      </c>
      <c r="B814" s="357">
        <f t="shared" ca="1" si="355"/>
        <v>36.000000000000178</v>
      </c>
      <c r="C814" s="342"/>
      <c r="D814" s="359">
        <f t="shared" ca="1" si="356"/>
        <v>-0.8332613071360776</v>
      </c>
      <c r="E814" s="360">
        <f t="shared" ca="1" si="357"/>
        <v>-6.6997689293419445</v>
      </c>
      <c r="F814" s="357">
        <f t="shared" ca="1" si="358"/>
        <v>6.7513871250688791</v>
      </c>
      <c r="G814" s="359">
        <f t="shared" ca="1" si="359"/>
        <v>31.046771938675001</v>
      </c>
      <c r="H814" s="360">
        <f t="shared" ca="1" si="360"/>
        <v>-116.86617779517181</v>
      </c>
      <c r="I814" s="357">
        <f t="shared" ca="1" si="361"/>
        <v>120.91983112899557</v>
      </c>
      <c r="J814" s="359">
        <f t="shared" ca="1" si="362"/>
        <v>1446.30949989482</v>
      </c>
      <c r="K814" s="360">
        <f t="shared" ca="1" si="363"/>
        <v>1654.2983620144096</v>
      </c>
      <c r="L814" s="357">
        <f t="shared" ca="1" si="348"/>
        <v>2197.3880494918421</v>
      </c>
      <c r="M814" s="359">
        <f t="shared" ca="1" si="364"/>
        <v>-1.3111331799854458</v>
      </c>
      <c r="N814" s="357">
        <f t="shared" ca="1" si="365"/>
        <v>-75.122397592732582</v>
      </c>
      <c r="O814" s="343"/>
      <c r="P814" s="363">
        <f t="shared" ca="1" si="366"/>
        <v>23</v>
      </c>
      <c r="Q814" s="357">
        <f t="shared" ca="1" si="367"/>
        <v>0</v>
      </c>
      <c r="R814" s="359">
        <f t="shared" ca="1" si="368"/>
        <v>0</v>
      </c>
      <c r="S814" s="360">
        <f t="shared" ca="1" si="369"/>
        <v>10.637999999999975</v>
      </c>
      <c r="T814" s="357">
        <f t="shared" ca="1" si="349"/>
        <v>104.35877999999975</v>
      </c>
      <c r="U814" s="364">
        <f t="shared" ca="1" si="350"/>
        <v>0</v>
      </c>
      <c r="V814" s="359">
        <f t="shared" ca="1" si="351"/>
        <v>1.0378301864518016</v>
      </c>
      <c r="W814" s="357">
        <f t="shared" ca="1" si="352"/>
        <v>34.651457392377019</v>
      </c>
      <c r="X814" s="343"/>
      <c r="Y814" s="367" t="str">
        <f t="shared" ca="1" si="370"/>
        <v/>
      </c>
      <c r="Z814" s="368" t="str">
        <f t="shared" ca="1" si="371"/>
        <v/>
      </c>
      <c r="AA814" s="369" t="str">
        <f t="shared" ca="1" si="372"/>
        <v/>
      </c>
      <c r="AB814" s="344"/>
      <c r="AC814" s="363">
        <f t="shared" ca="1" si="373"/>
        <v>36.000000000000178</v>
      </c>
      <c r="AD814" s="376">
        <f t="shared" ca="1" si="374"/>
        <v>1446.30949989482</v>
      </c>
      <c r="AE814" s="377" t="e">
        <f t="shared" ca="1" si="353"/>
        <v>#N/A</v>
      </c>
      <c r="AF814" s="344"/>
      <c r="AG814" s="359">
        <f t="shared" ca="1" si="375"/>
        <v>6.2559093121699494</v>
      </c>
      <c r="AH814" s="357">
        <f t="shared" ca="1" si="376"/>
        <v>-3.2199164148867094</v>
      </c>
    </row>
    <row r="815" spans="1:34" x14ac:dyDescent="0.25">
      <c r="A815" s="402">
        <f t="shared" ca="1" si="354"/>
        <v>0.1</v>
      </c>
      <c r="B815" s="357">
        <f t="shared" ca="1" si="355"/>
        <v>36.100000000000179</v>
      </c>
      <c r="C815" s="342"/>
      <c r="D815" s="359">
        <f t="shared" ca="1" si="356"/>
        <v>-0.83633532078951645</v>
      </c>
      <c r="E815" s="360">
        <f t="shared" ca="1" si="357"/>
        <v>-6.6618687711292868</v>
      </c>
      <c r="F815" s="357">
        <f t="shared" ca="1" si="358"/>
        <v>6.7141605798899189</v>
      </c>
      <c r="G815" s="359">
        <f t="shared" ca="1" si="359"/>
        <v>30.963138406596048</v>
      </c>
      <c r="H815" s="360">
        <f t="shared" ca="1" si="360"/>
        <v>-117.53236467228474</v>
      </c>
      <c r="I815" s="357">
        <f t="shared" ca="1" si="361"/>
        <v>121.54247276341283</v>
      </c>
      <c r="J815" s="359">
        <f t="shared" ca="1" si="362"/>
        <v>1449.4099954120836</v>
      </c>
      <c r="K815" s="360">
        <f t="shared" ca="1" si="363"/>
        <v>1642.5784348910367</v>
      </c>
      <c r="L815" s="357">
        <f t="shared" ca="1" si="348"/>
        <v>2190.6285056050797</v>
      </c>
      <c r="M815" s="359">
        <f t="shared" ca="1" si="364"/>
        <v>-1.3132055159780673</v>
      </c>
      <c r="N815" s="357">
        <f t="shared" ca="1" si="365"/>
        <v>-75.241133698842859</v>
      </c>
      <c r="O815" s="343"/>
      <c r="P815" s="363">
        <f t="shared" ca="1" si="366"/>
        <v>23</v>
      </c>
      <c r="Q815" s="357">
        <f t="shared" ca="1" si="367"/>
        <v>0</v>
      </c>
      <c r="R815" s="359">
        <f t="shared" ca="1" si="368"/>
        <v>0</v>
      </c>
      <c r="S815" s="360">
        <f t="shared" ca="1" si="369"/>
        <v>10.637999999999975</v>
      </c>
      <c r="T815" s="357">
        <f t="shared" ca="1" si="349"/>
        <v>104.35877999999975</v>
      </c>
      <c r="U815" s="364">
        <f t="shared" ca="1" si="350"/>
        <v>0</v>
      </c>
      <c r="V815" s="359">
        <f t="shared" ca="1" si="351"/>
        <v>1.0390555582325973</v>
      </c>
      <c r="W815" s="357">
        <f t="shared" ca="1" si="352"/>
        <v>35.050567024428567</v>
      </c>
      <c r="X815" s="343"/>
      <c r="Y815" s="367" t="str">
        <f t="shared" ca="1" si="370"/>
        <v/>
      </c>
      <c r="Z815" s="368" t="str">
        <f t="shared" ca="1" si="371"/>
        <v/>
      </c>
      <c r="AA815" s="369" t="str">
        <f t="shared" ca="1" si="372"/>
        <v/>
      </c>
      <c r="AB815" s="344"/>
      <c r="AC815" s="363" t="e">
        <f t="shared" ca="1" si="373"/>
        <v>#N/A</v>
      </c>
      <c r="AD815" s="376" t="e">
        <f t="shared" ca="1" si="374"/>
        <v>#N/A</v>
      </c>
      <c r="AE815" s="377" t="e">
        <f t="shared" ca="1" si="353"/>
        <v>#N/A</v>
      </c>
      <c r="AF815" s="344"/>
      <c r="AG815" s="359">
        <f t="shared" ca="1" si="375"/>
        <v>6.2238064778906601</v>
      </c>
      <c r="AH815" s="357">
        <f t="shared" ca="1" si="376"/>
        <v>-3.2573282000730495</v>
      </c>
    </row>
    <row r="816" spans="1:34" x14ac:dyDescent="0.25">
      <c r="A816" s="402">
        <f t="shared" ca="1" si="354"/>
        <v>0.1</v>
      </c>
      <c r="B816" s="357">
        <f t="shared" ca="1" si="355"/>
        <v>36.20000000000018</v>
      </c>
      <c r="C816" s="342"/>
      <c r="D816" s="359">
        <f t="shared" ca="1" si="356"/>
        <v>-0.83936715008668716</v>
      </c>
      <c r="E816" s="360">
        <f t="shared" ca="1" si="357"/>
        <v>-6.6238628364329841</v>
      </c>
      <c r="F816" s="357">
        <f t="shared" ca="1" si="358"/>
        <v>6.6768327887197136</v>
      </c>
      <c r="G816" s="359">
        <f t="shared" ca="1" si="359"/>
        <v>30.879201691587379</v>
      </c>
      <c r="H816" s="360">
        <f t="shared" ca="1" si="360"/>
        <v>-118.19475095592804</v>
      </c>
      <c r="I816" s="357">
        <f t="shared" ca="1" si="361"/>
        <v>122.1618772393564</v>
      </c>
      <c r="J816" s="359">
        <f t="shared" ca="1" si="362"/>
        <v>1452.5021124169928</v>
      </c>
      <c r="K816" s="360">
        <f t="shared" ca="1" si="363"/>
        <v>1630.792079109626</v>
      </c>
      <c r="L816" s="357">
        <f t="shared" ca="1" si="348"/>
        <v>2183.8601584951643</v>
      </c>
      <c r="M816" s="359">
        <f t="shared" ca="1" si="364"/>
        <v>-1.3152512563637688</v>
      </c>
      <c r="N816" s="357">
        <f t="shared" ca="1" si="365"/>
        <v>-75.358345988923006</v>
      </c>
      <c r="O816" s="343"/>
      <c r="P816" s="363">
        <f t="shared" ca="1" si="366"/>
        <v>23</v>
      </c>
      <c r="Q816" s="357">
        <f t="shared" ca="1" si="367"/>
        <v>0</v>
      </c>
      <c r="R816" s="359">
        <f t="shared" ca="1" si="368"/>
        <v>0</v>
      </c>
      <c r="S816" s="360">
        <f t="shared" ca="1" si="369"/>
        <v>10.637999999999975</v>
      </c>
      <c r="T816" s="357">
        <f t="shared" ca="1" si="349"/>
        <v>104.35877999999975</v>
      </c>
      <c r="U816" s="364">
        <f t="shared" ca="1" si="350"/>
        <v>0</v>
      </c>
      <c r="V816" s="359">
        <f t="shared" ca="1" si="351"/>
        <v>1.040289214597127</v>
      </c>
      <c r="W816" s="357">
        <f t="shared" ca="1" si="352"/>
        <v>35.450766866022434</v>
      </c>
      <c r="X816" s="343"/>
      <c r="Y816" s="367" t="str">
        <f t="shared" ca="1" si="370"/>
        <v/>
      </c>
      <c r="Z816" s="368" t="str">
        <f t="shared" ca="1" si="371"/>
        <v/>
      </c>
      <c r="AA816" s="369" t="str">
        <f t="shared" ca="1" si="372"/>
        <v/>
      </c>
      <c r="AB816" s="344"/>
      <c r="AC816" s="363" t="e">
        <f t="shared" ca="1" si="373"/>
        <v>#N/A</v>
      </c>
      <c r="AD816" s="376" t="e">
        <f t="shared" ca="1" si="374"/>
        <v>#N/A</v>
      </c>
      <c r="AE816" s="377" t="e">
        <f t="shared" ca="1" si="353"/>
        <v>#N/A</v>
      </c>
      <c r="AF816" s="344"/>
      <c r="AG816" s="359">
        <f t="shared" ca="1" si="375"/>
        <v>6.1914884902298999</v>
      </c>
      <c r="AH816" s="357">
        <f t="shared" ca="1" si="376"/>
        <v>-3.2948455559718601</v>
      </c>
    </row>
    <row r="817" spans="1:34" x14ac:dyDescent="0.25">
      <c r="A817" s="402">
        <f t="shared" ca="1" si="354"/>
        <v>0.1</v>
      </c>
      <c r="B817" s="357">
        <f t="shared" ca="1" si="355"/>
        <v>36.300000000000182</v>
      </c>
      <c r="C817" s="342"/>
      <c r="D817" s="359">
        <f t="shared" ca="1" si="356"/>
        <v>-0.84235666126378284</v>
      </c>
      <c r="E817" s="360">
        <f t="shared" ca="1" si="357"/>
        <v>-6.5857542183720312</v>
      </c>
      <c r="F817" s="357">
        <f t="shared" ca="1" si="358"/>
        <v>6.6394068537468369</v>
      </c>
      <c r="G817" s="359">
        <f t="shared" ca="1" si="359"/>
        <v>30.794966025461001</v>
      </c>
      <c r="H817" s="360">
        <f t="shared" ca="1" si="360"/>
        <v>-118.85332637776524</v>
      </c>
      <c r="I817" s="357">
        <f t="shared" ca="1" si="361"/>
        <v>122.77802378100441</v>
      </c>
      <c r="J817" s="359">
        <f t="shared" ca="1" si="362"/>
        <v>1455.5858208028451</v>
      </c>
      <c r="K817" s="360">
        <f t="shared" ca="1" si="363"/>
        <v>1618.9396752429413</v>
      </c>
      <c r="L817" s="357">
        <f t="shared" ca="1" si="348"/>
        <v>2177.0842321320533</v>
      </c>
      <c r="M817" s="359">
        <f t="shared" ca="1" si="364"/>
        <v>-1.3172709199259485</v>
      </c>
      <c r="N817" s="357">
        <f t="shared" ca="1" si="365"/>
        <v>-75.474064187072258</v>
      </c>
      <c r="O817" s="343"/>
      <c r="P817" s="363">
        <f t="shared" ca="1" si="366"/>
        <v>23</v>
      </c>
      <c r="Q817" s="357">
        <f t="shared" ca="1" si="367"/>
        <v>0</v>
      </c>
      <c r="R817" s="359">
        <f t="shared" ca="1" si="368"/>
        <v>0</v>
      </c>
      <c r="S817" s="360">
        <f t="shared" ca="1" si="369"/>
        <v>10.637999999999975</v>
      </c>
      <c r="T817" s="357">
        <f t="shared" ca="1" si="349"/>
        <v>104.35877999999975</v>
      </c>
      <c r="U817" s="364">
        <f t="shared" ca="1" si="350"/>
        <v>0</v>
      </c>
      <c r="V817" s="359">
        <f t="shared" ca="1" si="351"/>
        <v>1.0415311405680383</v>
      </c>
      <c r="W817" s="357">
        <f t="shared" ca="1" si="352"/>
        <v>35.852024090849589</v>
      </c>
      <c r="X817" s="343"/>
      <c r="Y817" s="367" t="str">
        <f t="shared" ca="1" si="370"/>
        <v/>
      </c>
      <c r="Z817" s="368" t="str">
        <f t="shared" ca="1" si="371"/>
        <v/>
      </c>
      <c r="AA817" s="369" t="str">
        <f t="shared" ca="1" si="372"/>
        <v/>
      </c>
      <c r="AB817" s="344"/>
      <c r="AC817" s="363" t="e">
        <f t="shared" ca="1" si="373"/>
        <v>#N/A</v>
      </c>
      <c r="AD817" s="376" t="e">
        <f t="shared" ca="1" si="374"/>
        <v>#N/A</v>
      </c>
      <c r="AE817" s="377" t="e">
        <f t="shared" ca="1" si="353"/>
        <v>#N/A</v>
      </c>
      <c r="AF817" s="344"/>
      <c r="AG817" s="359">
        <f t="shared" ca="1" si="375"/>
        <v>6.1589613344253973</v>
      </c>
      <c r="AH817" s="357">
        <f t="shared" ca="1" si="376"/>
        <v>-3.3324653944371607</v>
      </c>
    </row>
    <row r="818" spans="1:34" x14ac:dyDescent="0.25">
      <c r="A818" s="402">
        <f t="shared" ca="1" si="354"/>
        <v>0.1</v>
      </c>
      <c r="B818" s="357">
        <f t="shared" ca="1" si="355"/>
        <v>36.400000000000183</v>
      </c>
      <c r="C818" s="342"/>
      <c r="D818" s="359">
        <f t="shared" ca="1" si="356"/>
        <v>-0.84530372761621209</v>
      </c>
      <c r="E818" s="360">
        <f t="shared" ca="1" si="357"/>
        <v>-6.5475460085376991</v>
      </c>
      <c r="F818" s="357">
        <f t="shared" ca="1" si="358"/>
        <v>6.6018858764628625</v>
      </c>
      <c r="G818" s="359">
        <f t="shared" ca="1" si="359"/>
        <v>30.710435652699381</v>
      </c>
      <c r="H818" s="360">
        <f t="shared" ca="1" si="360"/>
        <v>-119.50808097861901</v>
      </c>
      <c r="I818" s="357">
        <f t="shared" ca="1" si="361"/>
        <v>123.39089219699623</v>
      </c>
      <c r="J818" s="359">
        <f t="shared" ca="1" si="362"/>
        <v>1458.6610908867531</v>
      </c>
      <c r="K818" s="360">
        <f t="shared" ca="1" si="363"/>
        <v>1607.0216048751222</v>
      </c>
      <c r="L818" s="357">
        <f t="shared" ca="1" si="348"/>
        <v>2170.3019643824559</v>
      </c>
      <c r="M818" s="359">
        <f t="shared" ca="1" si="364"/>
        <v>-1.3192650123396175</v>
      </c>
      <c r="N818" s="357">
        <f t="shared" ca="1" si="365"/>
        <v>-75.588317266334556</v>
      </c>
      <c r="O818" s="343"/>
      <c r="P818" s="363">
        <f t="shared" ca="1" si="366"/>
        <v>23</v>
      </c>
      <c r="Q818" s="357">
        <f t="shared" ca="1" si="367"/>
        <v>0</v>
      </c>
      <c r="R818" s="359">
        <f t="shared" ca="1" si="368"/>
        <v>0</v>
      </c>
      <c r="S818" s="360">
        <f t="shared" ca="1" si="369"/>
        <v>10.637999999999975</v>
      </c>
      <c r="T818" s="357">
        <f t="shared" ca="1" si="349"/>
        <v>104.35877999999975</v>
      </c>
      <c r="U818" s="364">
        <f t="shared" ca="1" si="350"/>
        <v>0</v>
      </c>
      <c r="V818" s="359">
        <f t="shared" ca="1" si="351"/>
        <v>1.0427813210935233</v>
      </c>
      <c r="W818" s="357">
        <f t="shared" ca="1" si="352"/>
        <v>36.254305902564226</v>
      </c>
      <c r="X818" s="343"/>
      <c r="Y818" s="367" t="str">
        <f t="shared" ca="1" si="370"/>
        <v/>
      </c>
      <c r="Z818" s="368" t="str">
        <f t="shared" ca="1" si="371"/>
        <v/>
      </c>
      <c r="AA818" s="369" t="str">
        <f t="shared" ca="1" si="372"/>
        <v/>
      </c>
      <c r="AB818" s="344"/>
      <c r="AC818" s="363" t="e">
        <f t="shared" ca="1" si="373"/>
        <v>#N/A</v>
      </c>
      <c r="AD818" s="376" t="e">
        <f t="shared" ca="1" si="374"/>
        <v>#N/A</v>
      </c>
      <c r="AE818" s="377" t="e">
        <f t="shared" ca="1" si="353"/>
        <v>#N/A</v>
      </c>
      <c r="AF818" s="344"/>
      <c r="AG818" s="359">
        <f t="shared" ca="1" si="375"/>
        <v>6.1262309002028417</v>
      </c>
      <c r="AH818" s="357">
        <f t="shared" ca="1" si="376"/>
        <v>-3.3701846297095011</v>
      </c>
    </row>
    <row r="819" spans="1:34" x14ac:dyDescent="0.25">
      <c r="A819" s="402">
        <f t="shared" ca="1" si="354"/>
        <v>0.1</v>
      </c>
      <c r="B819" s="357">
        <f t="shared" ca="1" si="355"/>
        <v>36.500000000000185</v>
      </c>
      <c r="C819" s="342"/>
      <c r="D819" s="359">
        <f t="shared" ca="1" si="356"/>
        <v>-0.8482082294189579</v>
      </c>
      <c r="E819" s="360">
        <f t="shared" ca="1" si="357"/>
        <v>-6.5092412965257997</v>
      </c>
      <c r="F819" s="357">
        <f t="shared" ca="1" si="358"/>
        <v>6.564272957217038</v>
      </c>
      <c r="G819" s="359">
        <f t="shared" ca="1" si="359"/>
        <v>30.625614829757485</v>
      </c>
      <c r="H819" s="360">
        <f t="shared" ca="1" si="360"/>
        <v>-120.15900510827159</v>
      </c>
      <c r="I819" s="357">
        <f t="shared" ca="1" si="361"/>
        <v>124.00046287135503</v>
      </c>
      <c r="J819" s="359">
        <f t="shared" ca="1" si="362"/>
        <v>1461.7278934108758</v>
      </c>
      <c r="K819" s="360">
        <f t="shared" ca="1" si="363"/>
        <v>1595.0382505707776</v>
      </c>
      <c r="L819" s="357">
        <f t="shared" ca="1" si="348"/>
        <v>2163.5146071055965</v>
      </c>
      <c r="M819" s="359">
        <f t="shared" ca="1" si="364"/>
        <v>-1.3212340265685047</v>
      </c>
      <c r="N819" s="357">
        <f t="shared" ca="1" si="365"/>
        <v>-75.701133471451001</v>
      </c>
      <c r="O819" s="343"/>
      <c r="P819" s="363">
        <f t="shared" ca="1" si="366"/>
        <v>23</v>
      </c>
      <c r="Q819" s="357">
        <f t="shared" ca="1" si="367"/>
        <v>0</v>
      </c>
      <c r="R819" s="359">
        <f t="shared" ca="1" si="368"/>
        <v>0</v>
      </c>
      <c r="S819" s="360">
        <f t="shared" ca="1" si="369"/>
        <v>10.637999999999975</v>
      </c>
      <c r="T819" s="357">
        <f t="shared" ca="1" si="349"/>
        <v>104.35877999999975</v>
      </c>
      <c r="U819" s="364">
        <f t="shared" ca="1" si="350"/>
        <v>0</v>
      </c>
      <c r="V819" s="359">
        <f t="shared" ca="1" si="351"/>
        <v>1.0440397410481495</v>
      </c>
      <c r="W819" s="357">
        <f t="shared" ca="1" si="352"/>
        <v>36.657579539342976</v>
      </c>
      <c r="X819" s="343"/>
      <c r="Y819" s="367" t="str">
        <f t="shared" ca="1" si="370"/>
        <v/>
      </c>
      <c r="Z819" s="368" t="str">
        <f t="shared" ca="1" si="371"/>
        <v/>
      </c>
      <c r="AA819" s="369" t="str">
        <f t="shared" ca="1" si="372"/>
        <v/>
      </c>
      <c r="AB819" s="344"/>
      <c r="AC819" s="363" t="e">
        <f t="shared" ca="1" si="373"/>
        <v>#N/A</v>
      </c>
      <c r="AD819" s="376" t="e">
        <f t="shared" ca="1" si="374"/>
        <v>#N/A</v>
      </c>
      <c r="AE819" s="377" t="e">
        <f t="shared" ca="1" si="353"/>
        <v>#N/A</v>
      </c>
      <c r="AF819" s="344"/>
      <c r="AG819" s="359">
        <f t="shared" ca="1" si="375"/>
        <v>6.0933029848309834</v>
      </c>
      <c r="AH819" s="357">
        <f t="shared" ca="1" si="376"/>
        <v>-3.408000178846053</v>
      </c>
    </row>
    <row r="820" spans="1:34" x14ac:dyDescent="0.25">
      <c r="A820" s="402">
        <f t="shared" ca="1" si="354"/>
        <v>0.1</v>
      </c>
      <c r="B820" s="357">
        <f t="shared" ca="1" si="355"/>
        <v>36.600000000000186</v>
      </c>
      <c r="C820" s="342"/>
      <c r="D820" s="359">
        <f t="shared" ca="1" si="356"/>
        <v>-0.85107005384872025</v>
      </c>
      <c r="E820" s="360">
        <f t="shared" ca="1" si="357"/>
        <v>-6.4708431694719657</v>
      </c>
      <c r="F820" s="357">
        <f t="shared" ca="1" si="358"/>
        <v>6.526571194774486</v>
      </c>
      <c r="G820" s="359">
        <f t="shared" ca="1" si="359"/>
        <v>30.540507824372611</v>
      </c>
      <c r="H820" s="360">
        <f t="shared" ca="1" si="360"/>
        <v>-120.80608942521879</v>
      </c>
      <c r="I820" s="357">
        <f t="shared" ca="1" si="361"/>
        <v>124.60671675469393</v>
      </c>
      <c r="J820" s="359">
        <f t="shared" ca="1" si="362"/>
        <v>1464.7861995435824</v>
      </c>
      <c r="K820" s="360">
        <f t="shared" ca="1" si="363"/>
        <v>1582.9899958441031</v>
      </c>
      <c r="L820" s="357">
        <f t="shared" ca="1" si="348"/>
        <v>2156.7234262454344</v>
      </c>
      <c r="M820" s="359">
        <f t="shared" ca="1" si="364"/>
        <v>-1.3231784432483567</v>
      </c>
      <c r="N820" s="357">
        <f t="shared" ca="1" si="365"/>
        <v>-75.812540340821357</v>
      </c>
      <c r="O820" s="343"/>
      <c r="P820" s="363">
        <f t="shared" ca="1" si="366"/>
        <v>23</v>
      </c>
      <c r="Q820" s="357">
        <f t="shared" ca="1" si="367"/>
        <v>0</v>
      </c>
      <c r="R820" s="359">
        <f t="shared" ca="1" si="368"/>
        <v>0</v>
      </c>
      <c r="S820" s="360">
        <f t="shared" ca="1" si="369"/>
        <v>10.637999999999975</v>
      </c>
      <c r="T820" s="357">
        <f t="shared" ca="1" si="349"/>
        <v>104.35877999999975</v>
      </c>
      <c r="U820" s="364">
        <f t="shared" ca="1" si="350"/>
        <v>0</v>
      </c>
      <c r="V820" s="359">
        <f t="shared" ca="1" si="351"/>
        <v>1.0453063852337032</v>
      </c>
      <c r="W820" s="357">
        <f t="shared" ca="1" si="352"/>
        <v>37.061812278427084</v>
      </c>
      <c r="X820" s="343"/>
      <c r="Y820" s="367" t="str">
        <f t="shared" ca="1" si="370"/>
        <v/>
      </c>
      <c r="Z820" s="368" t="str">
        <f t="shared" ca="1" si="371"/>
        <v/>
      </c>
      <c r="AA820" s="369" t="str">
        <f t="shared" ca="1" si="372"/>
        <v/>
      </c>
      <c r="AB820" s="344"/>
      <c r="AC820" s="363" t="e">
        <f t="shared" ca="1" si="373"/>
        <v>#N/A</v>
      </c>
      <c r="AD820" s="376" t="e">
        <f t="shared" ca="1" si="374"/>
        <v>#N/A</v>
      </c>
      <c r="AE820" s="377" t="e">
        <f t="shared" ca="1" si="353"/>
        <v>#N/A</v>
      </c>
      <c r="AF820" s="344"/>
      <c r="AG820" s="359">
        <f t="shared" ca="1" si="375"/>
        <v>6.0601832960309707</v>
      </c>
      <c r="AH820" s="357">
        <f t="shared" ca="1" si="376"/>
        <v>-3.4459089621491881</v>
      </c>
    </row>
    <row r="821" spans="1:34" x14ac:dyDescent="0.25">
      <c r="A821" s="402">
        <f t="shared" ca="1" si="354"/>
        <v>0.1</v>
      </c>
      <c r="B821" s="357">
        <f t="shared" ca="1" si="355"/>
        <v>36.700000000000188</v>
      </c>
      <c r="C821" s="342"/>
      <c r="D821" s="359">
        <f t="shared" ca="1" si="356"/>
        <v>-0.85388909490773024</v>
      </c>
      <c r="E821" s="360">
        <f t="shared" ca="1" si="357"/>
        <v>-6.4323547115899524</v>
      </c>
      <c r="F821" s="357">
        <f t="shared" ca="1" si="358"/>
        <v>6.488783685877948</v>
      </c>
      <c r="G821" s="359">
        <f t="shared" ca="1" si="359"/>
        <v>30.455118914881837</v>
      </c>
      <c r="H821" s="360">
        <f t="shared" ca="1" si="360"/>
        <v>-121.44932489637779</v>
      </c>
      <c r="I821" s="357">
        <f t="shared" ca="1" si="361"/>
        <v>125.20963535569267</v>
      </c>
      <c r="J821" s="359">
        <f t="shared" ca="1" si="362"/>
        <v>1467.8359808805451</v>
      </c>
      <c r="K821" s="360">
        <f t="shared" ca="1" si="363"/>
        <v>1570.8772251280232</v>
      </c>
      <c r="L821" s="357">
        <f t="shared" ca="1" si="348"/>
        <v>2149.9297019189885</v>
      </c>
      <c r="M821" s="359">
        <f t="shared" ca="1" si="364"/>
        <v>-1.3250987310569604</v>
      </c>
      <c r="N821" s="357">
        <f t="shared" ca="1" si="365"/>
        <v>-75.922564727704781</v>
      </c>
      <c r="O821" s="343"/>
      <c r="P821" s="363">
        <f t="shared" ca="1" si="366"/>
        <v>23</v>
      </c>
      <c r="Q821" s="357">
        <f t="shared" ca="1" si="367"/>
        <v>0</v>
      </c>
      <c r="R821" s="359">
        <f t="shared" ca="1" si="368"/>
        <v>0</v>
      </c>
      <c r="S821" s="360">
        <f t="shared" ca="1" si="369"/>
        <v>10.637999999999975</v>
      </c>
      <c r="T821" s="357">
        <f t="shared" ca="1" si="349"/>
        <v>104.35877999999975</v>
      </c>
      <c r="U821" s="364">
        <f t="shared" ca="1" si="350"/>
        <v>0</v>
      </c>
      <c r="V821" s="359">
        <f t="shared" ca="1" si="351"/>
        <v>1.0465812383800346</v>
      </c>
      <c r="W821" s="357">
        <f t="shared" ca="1" si="352"/>
        <v>37.466971440646013</v>
      </c>
      <c r="X821" s="343"/>
      <c r="Y821" s="367" t="str">
        <f t="shared" ca="1" si="370"/>
        <v/>
      </c>
      <c r="Z821" s="368" t="str">
        <f t="shared" ca="1" si="371"/>
        <v/>
      </c>
      <c r="AA821" s="369" t="str">
        <f t="shared" ca="1" si="372"/>
        <v/>
      </c>
      <c r="AB821" s="344"/>
      <c r="AC821" s="363" t="e">
        <f t="shared" ca="1" si="373"/>
        <v>#N/A</v>
      </c>
      <c r="AD821" s="376" t="e">
        <f t="shared" ca="1" si="374"/>
        <v>#N/A</v>
      </c>
      <c r="AE821" s="377" t="e">
        <f t="shared" ca="1" si="353"/>
        <v>#N/A</v>
      </c>
      <c r="AF821" s="344"/>
      <c r="AG821" s="359">
        <f t="shared" ca="1" si="375"/>
        <v>6.0268774547468151</v>
      </c>
      <c r="AH821" s="357">
        <f t="shared" ca="1" si="376"/>
        <v>-3.4839079035934546</v>
      </c>
    </row>
    <row r="822" spans="1:34" x14ac:dyDescent="0.25">
      <c r="A822" s="402">
        <f t="shared" ca="1" si="354"/>
        <v>0.1</v>
      </c>
      <c r="B822" s="357">
        <f t="shared" ca="1" si="355"/>
        <v>36.800000000000189</v>
      </c>
      <c r="C822" s="342"/>
      <c r="D822" s="359">
        <f t="shared" ca="1" si="356"/>
        <v>-0.85666525334912136</v>
      </c>
      <c r="E822" s="360">
        <f t="shared" ca="1" si="357"/>
        <v>-6.3937790037130489</v>
      </c>
      <c r="F822" s="357">
        <f t="shared" ca="1" si="358"/>
        <v>6.450913524813175</v>
      </c>
      <c r="G822" s="359">
        <f t="shared" ca="1" si="359"/>
        <v>30.369452389546925</v>
      </c>
      <c r="H822" s="360">
        <f t="shared" ca="1" si="360"/>
        <v>-122.08870279674909</v>
      </c>
      <c r="I822" s="357">
        <f t="shared" ca="1" si="361"/>
        <v>125.80920073283148</v>
      </c>
      <c r="J822" s="359">
        <f t="shared" ca="1" si="362"/>
        <v>1470.8772094457665</v>
      </c>
      <c r="K822" s="360">
        <f t="shared" ca="1" si="363"/>
        <v>1558.7003237433669</v>
      </c>
      <c r="L822" s="357">
        <f t="shared" ca="1" si="348"/>
        <v>2143.1347285004372</v>
      </c>
      <c r="M822" s="359">
        <f t="shared" ca="1" si="364"/>
        <v>-1.3269953470713991</v>
      </c>
      <c r="N822" s="357">
        <f t="shared" ca="1" si="365"/>
        <v>-76.031232820689041</v>
      </c>
      <c r="O822" s="343"/>
      <c r="P822" s="363">
        <f t="shared" ca="1" si="366"/>
        <v>23</v>
      </c>
      <c r="Q822" s="357">
        <f t="shared" ca="1" si="367"/>
        <v>0</v>
      </c>
      <c r="R822" s="359">
        <f t="shared" ca="1" si="368"/>
        <v>0</v>
      </c>
      <c r="S822" s="360">
        <f t="shared" ca="1" si="369"/>
        <v>10.637999999999975</v>
      </c>
      <c r="T822" s="357">
        <f t="shared" ca="1" si="349"/>
        <v>104.35877999999975</v>
      </c>
      <c r="U822" s="364">
        <f t="shared" ca="1" si="350"/>
        <v>0</v>
      </c>
      <c r="V822" s="359">
        <f t="shared" ca="1" si="351"/>
        <v>1.0478642851459161</v>
      </c>
      <c r="W822" s="357">
        <f t="shared" ca="1" si="352"/>
        <v>37.873024394921892</v>
      </c>
      <c r="X822" s="343"/>
      <c r="Y822" s="367" t="str">
        <f t="shared" ca="1" si="370"/>
        <v/>
      </c>
      <c r="Z822" s="368" t="str">
        <f t="shared" ca="1" si="371"/>
        <v/>
      </c>
      <c r="AA822" s="369" t="str">
        <f t="shared" ca="1" si="372"/>
        <v/>
      </c>
      <c r="AB822" s="344"/>
      <c r="AC822" s="363" t="e">
        <f t="shared" ca="1" si="373"/>
        <v>#N/A</v>
      </c>
      <c r="AD822" s="376" t="e">
        <f t="shared" ca="1" si="374"/>
        <v>#N/A</v>
      </c>
      <c r="AE822" s="377" t="e">
        <f t="shared" ca="1" si="353"/>
        <v>#N/A</v>
      </c>
      <c r="AF822" s="344"/>
      <c r="AG822" s="359">
        <f t="shared" ca="1" si="375"/>
        <v>5.9933909977837132</v>
      </c>
      <c r="AH822" s="357">
        <f t="shared" ca="1" si="376"/>
        <v>-3.5219939312508086</v>
      </c>
    </row>
    <row r="823" spans="1:34" x14ac:dyDescent="0.25">
      <c r="A823" s="402">
        <f t="shared" ca="1" si="354"/>
        <v>0.1</v>
      </c>
      <c r="B823" s="357">
        <f t="shared" ca="1" si="355"/>
        <v>36.90000000000019</v>
      </c>
      <c r="C823" s="342"/>
      <c r="D823" s="359">
        <f t="shared" ca="1" si="356"/>
        <v>-0.85939843660378057</v>
      </c>
      <c r="E823" s="360">
        <f t="shared" ca="1" si="357"/>
        <v>-6.3551191228385822</v>
      </c>
      <c r="F823" s="357">
        <f t="shared" ca="1" si="358"/>
        <v>6.412963802977969</v>
      </c>
      <c r="G823" s="359">
        <f t="shared" ca="1" si="359"/>
        <v>30.283512545886548</v>
      </c>
      <c r="H823" s="360">
        <f t="shared" ca="1" si="360"/>
        <v>-122.72421470903295</v>
      </c>
      <c r="I823" s="357">
        <f t="shared" ca="1" si="361"/>
        <v>126.40539548637031</v>
      </c>
      <c r="J823" s="359">
        <f t="shared" ca="1" si="362"/>
        <v>1473.9098576925383</v>
      </c>
      <c r="K823" s="360">
        <f t="shared" ca="1" si="363"/>
        <v>1546.4596778680777</v>
      </c>
      <c r="L823" s="357">
        <f t="shared" ca="1" si="348"/>
        <v>2136.3398147006196</v>
      </c>
      <c r="M823" s="359">
        <f t="shared" ca="1" si="364"/>
        <v>-1.328868737113029</v>
      </c>
      <c r="N823" s="357">
        <f t="shared" ca="1" si="365"/>
        <v>-76.138570163456265</v>
      </c>
      <c r="O823" s="343"/>
      <c r="P823" s="363">
        <f t="shared" ca="1" si="366"/>
        <v>23</v>
      </c>
      <c r="Q823" s="357">
        <f t="shared" ca="1" si="367"/>
        <v>0</v>
      </c>
      <c r="R823" s="359">
        <f t="shared" ca="1" si="368"/>
        <v>0</v>
      </c>
      <c r="S823" s="360">
        <f t="shared" ca="1" si="369"/>
        <v>10.637999999999975</v>
      </c>
      <c r="T823" s="357">
        <f t="shared" ca="1" si="349"/>
        <v>104.35877999999975</v>
      </c>
      <c r="U823" s="364">
        <f t="shared" ca="1" si="350"/>
        <v>0</v>
      </c>
      <c r="V823" s="359">
        <f t="shared" ca="1" si="351"/>
        <v>1.049155510119903</v>
      </c>
      <c r="W823" s="357">
        <f t="shared" ca="1" si="352"/>
        <v>38.279938562753216</v>
      </c>
      <c r="X823" s="343"/>
      <c r="Y823" s="367" t="str">
        <f t="shared" ca="1" si="370"/>
        <v/>
      </c>
      <c r="Z823" s="368" t="str">
        <f t="shared" ca="1" si="371"/>
        <v/>
      </c>
      <c r="AA823" s="369" t="str">
        <f t="shared" ca="1" si="372"/>
        <v/>
      </c>
      <c r="AB823" s="344"/>
      <c r="AC823" s="363" t="e">
        <f t="shared" ca="1" si="373"/>
        <v>#N/A</v>
      </c>
      <c r="AD823" s="376" t="e">
        <f t="shared" ca="1" si="374"/>
        <v>#N/A</v>
      </c>
      <c r="AE823" s="377" t="e">
        <f t="shared" ca="1" si="353"/>
        <v>#N/A</v>
      </c>
      <c r="AF823" s="344"/>
      <c r="AG823" s="359">
        <f t="shared" ca="1" si="375"/>
        <v>5.9597293803204323</v>
      </c>
      <c r="AH823" s="357">
        <f t="shared" ca="1" si="376"/>
        <v>-3.5601639777140424</v>
      </c>
    </row>
    <row r="824" spans="1:34" x14ac:dyDescent="0.25">
      <c r="A824" s="402">
        <f t="shared" ca="1" si="354"/>
        <v>0.1</v>
      </c>
      <c r="B824" s="357">
        <f t="shared" ca="1" si="355"/>
        <v>37.000000000000192</v>
      </c>
      <c r="C824" s="342"/>
      <c r="D824" s="359">
        <f t="shared" ca="1" si="356"/>
        <v>-0.86208855870856393</v>
      </c>
      <c r="E824" s="360">
        <f t="shared" ca="1" si="357"/>
        <v>-6.3163781416755977</v>
      </c>
      <c r="F824" s="357">
        <f t="shared" ca="1" si="358"/>
        <v>6.3749376084549638</v>
      </c>
      <c r="G824" s="359">
        <f t="shared" ca="1" si="359"/>
        <v>30.197303690015691</v>
      </c>
      <c r="H824" s="360">
        <f t="shared" ca="1" si="360"/>
        <v>-123.35585252320051</v>
      </c>
      <c r="I824" s="357">
        <f t="shared" ca="1" si="361"/>
        <v>126.99820275056112</v>
      </c>
      <c r="J824" s="359">
        <f t="shared" ca="1" si="362"/>
        <v>1476.9338985043335</v>
      </c>
      <c r="K824" s="360">
        <f t="shared" ca="1" si="363"/>
        <v>1534.1556745064661</v>
      </c>
      <c r="L824" s="357">
        <f t="shared" ca="1" si="348"/>
        <v>2129.5462836415645</v>
      </c>
      <c r="M824" s="359">
        <f t="shared" ca="1" si="364"/>
        <v>-1.3307193360806471</v>
      </c>
      <c r="N824" s="357">
        <f t="shared" ca="1" si="365"/>
        <v>-76.244601673872054</v>
      </c>
      <c r="O824" s="343"/>
      <c r="P824" s="363">
        <f t="shared" ca="1" si="366"/>
        <v>23</v>
      </c>
      <c r="Q824" s="357">
        <f t="shared" ca="1" si="367"/>
        <v>0</v>
      </c>
      <c r="R824" s="359">
        <f t="shared" ca="1" si="368"/>
        <v>0</v>
      </c>
      <c r="S824" s="360">
        <f t="shared" ca="1" si="369"/>
        <v>10.637999999999975</v>
      </c>
      <c r="T824" s="357">
        <f t="shared" ca="1" si="349"/>
        <v>104.35877999999975</v>
      </c>
      <c r="U824" s="364">
        <f t="shared" ca="1" si="350"/>
        <v>0</v>
      </c>
      <c r="V824" s="359">
        <f t="shared" ca="1" si="351"/>
        <v>1.0504548978212036</v>
      </c>
      <c r="W824" s="357">
        <f t="shared" ca="1" si="352"/>
        <v>38.687681422676832</v>
      </c>
      <c r="X824" s="343"/>
      <c r="Y824" s="367" t="str">
        <f t="shared" ca="1" si="370"/>
        <v/>
      </c>
      <c r="Z824" s="368" t="str">
        <f t="shared" ca="1" si="371"/>
        <v/>
      </c>
      <c r="AA824" s="369" t="str">
        <f t="shared" ca="1" si="372"/>
        <v/>
      </c>
      <c r="AB824" s="344"/>
      <c r="AC824" s="363">
        <f t="shared" ca="1" si="373"/>
        <v>37.000000000000192</v>
      </c>
      <c r="AD824" s="376">
        <f t="shared" ca="1" si="374"/>
        <v>1476.9338985043335</v>
      </c>
      <c r="AE824" s="377" t="e">
        <f t="shared" ca="1" si="353"/>
        <v>#N/A</v>
      </c>
      <c r="AF824" s="344"/>
      <c r="AG824" s="359">
        <f t="shared" ca="1" si="375"/>
        <v>5.9258979783018084</v>
      </c>
      <c r="AH824" s="357">
        <f t="shared" ca="1" si="376"/>
        <v>-3.5984149805182652</v>
      </c>
    </row>
    <row r="825" spans="1:34" x14ac:dyDescent="0.25">
      <c r="A825" s="402">
        <f t="shared" ca="1" si="354"/>
        <v>0.1</v>
      </c>
      <c r="B825" s="357">
        <f t="shared" ca="1" si="355"/>
        <v>37.100000000000193</v>
      </c>
      <c r="C825" s="342"/>
      <c r="D825" s="359">
        <f t="shared" ca="1" si="356"/>
        <v>-0.86473554023579402</v>
      </c>
      <c r="E825" s="360">
        <f t="shared" ca="1" si="357"/>
        <v>-6.2775591281957492</v>
      </c>
      <c r="F825" s="357">
        <f t="shared" ca="1" si="358"/>
        <v>6.3368380255882082</v>
      </c>
      <c r="G825" s="359">
        <f t="shared" ca="1" si="359"/>
        <v>30.11083013599211</v>
      </c>
      <c r="H825" s="360">
        <f t="shared" ca="1" si="360"/>
        <v>-123.98360843602009</v>
      </c>
      <c r="I825" s="357">
        <f t="shared" ca="1" si="361"/>
        <v>127.58760618608268</v>
      </c>
      <c r="J825" s="359">
        <f t="shared" ca="1" si="362"/>
        <v>1479.9493051956338</v>
      </c>
      <c r="K825" s="360">
        <f t="shared" ca="1" si="363"/>
        <v>1521.7887014585051</v>
      </c>
      <c r="L825" s="357">
        <f t="shared" ca="1" si="348"/>
        <v>2122.7554729256508</v>
      </c>
      <c r="M825" s="359">
        <f t="shared" ca="1" si="364"/>
        <v>-1.3325475682722951</v>
      </c>
      <c r="N825" s="357">
        <f t="shared" ca="1" si="365"/>
        <v>-76.34935166242343</v>
      </c>
      <c r="O825" s="343"/>
      <c r="P825" s="363">
        <f t="shared" ca="1" si="366"/>
        <v>23</v>
      </c>
      <c r="Q825" s="357">
        <f t="shared" ca="1" si="367"/>
        <v>0</v>
      </c>
      <c r="R825" s="359">
        <f t="shared" ca="1" si="368"/>
        <v>0</v>
      </c>
      <c r="S825" s="360">
        <f t="shared" ca="1" si="369"/>
        <v>10.637999999999975</v>
      </c>
      <c r="T825" s="357">
        <f t="shared" ca="1" si="349"/>
        <v>104.35877999999975</v>
      </c>
      <c r="U825" s="364">
        <f t="shared" ca="1" si="350"/>
        <v>0</v>
      </c>
      <c r="V825" s="359">
        <f t="shared" ca="1" si="351"/>
        <v>1.0517624327005557</v>
      </c>
      <c r="W825" s="357">
        <f t="shared" ca="1" si="352"/>
        <v>39.096220514707241</v>
      </c>
      <c r="X825" s="343"/>
      <c r="Y825" s="367" t="str">
        <f t="shared" ca="1" si="370"/>
        <v/>
      </c>
      <c r="Z825" s="368" t="str">
        <f t="shared" ca="1" si="371"/>
        <v/>
      </c>
      <c r="AA825" s="369" t="str">
        <f t="shared" ca="1" si="372"/>
        <v/>
      </c>
      <c r="AB825" s="344"/>
      <c r="AC825" s="363" t="e">
        <f t="shared" ca="1" si="373"/>
        <v>#N/A</v>
      </c>
      <c r="AD825" s="376" t="e">
        <f t="shared" ca="1" si="374"/>
        <v>#N/A</v>
      </c>
      <c r="AE825" s="377" t="e">
        <f t="shared" ca="1" si="353"/>
        <v>#N/A</v>
      </c>
      <c r="AF825" s="344"/>
      <c r="AG825" s="359">
        <f t="shared" ca="1" si="375"/>
        <v>5.8919020907170268</v>
      </c>
      <c r="AH825" s="357">
        <f t="shared" ca="1" si="376"/>
        <v>-3.6367438825603422</v>
      </c>
    </row>
    <row r="826" spans="1:34" x14ac:dyDescent="0.25">
      <c r="A826" s="402">
        <f t="shared" ca="1" si="354"/>
        <v>0.1</v>
      </c>
      <c r="B826" s="357">
        <f t="shared" ca="1" si="355"/>
        <v>37.200000000000195</v>
      </c>
      <c r="C826" s="342"/>
      <c r="D826" s="359">
        <f t="shared" ca="1" si="356"/>
        <v>-0.86733930822396643</v>
      </c>
      <c r="E826" s="360">
        <f t="shared" ca="1" si="357"/>
        <v>-6.2386651451874471</v>
      </c>
      <c r="F826" s="357">
        <f t="shared" ca="1" si="358"/>
        <v>6.2986681345636191</v>
      </c>
      <c r="G826" s="359">
        <f t="shared" ca="1" si="359"/>
        <v>30.024096205169712</v>
      </c>
      <c r="H826" s="360">
        <f t="shared" ca="1" si="360"/>
        <v>-124.60747495053883</v>
      </c>
      <c r="I826" s="357">
        <f t="shared" ca="1" si="361"/>
        <v>128.17358997268684</v>
      </c>
      <c r="J826" s="359">
        <f t="shared" ca="1" si="362"/>
        <v>1482.9560515126918</v>
      </c>
      <c r="K826" s="360">
        <f t="shared" ca="1" si="363"/>
        <v>1509.3591472891771</v>
      </c>
      <c r="L826" s="357">
        <f t="shared" ca="1" si="348"/>
        <v>2115.9687346989854</v>
      </c>
      <c r="M826" s="359">
        <f t="shared" ca="1" si="364"/>
        <v>-1.3343538476961356</v>
      </c>
      <c r="N826" s="357">
        <f t="shared" ca="1" si="365"/>
        <v>-76.452843850030817</v>
      </c>
      <c r="O826" s="343"/>
      <c r="P826" s="363">
        <f t="shared" ca="1" si="366"/>
        <v>23</v>
      </c>
      <c r="Q826" s="357">
        <f t="shared" ca="1" si="367"/>
        <v>0</v>
      </c>
      <c r="R826" s="359">
        <f t="shared" ca="1" si="368"/>
        <v>0</v>
      </c>
      <c r="S826" s="360">
        <f t="shared" ca="1" si="369"/>
        <v>10.637999999999975</v>
      </c>
      <c r="T826" s="357">
        <f t="shared" ca="1" si="349"/>
        <v>104.35877999999975</v>
      </c>
      <c r="U826" s="364">
        <f t="shared" ca="1" si="350"/>
        <v>0</v>
      </c>
      <c r="V826" s="359">
        <f t="shared" ca="1" si="351"/>
        <v>1.0530780991411111</v>
      </c>
      <c r="W826" s="357">
        <f t="shared" ca="1" si="352"/>
        <v>39.505523444751859</v>
      </c>
      <c r="X826" s="343"/>
      <c r="Y826" s="367" t="str">
        <f t="shared" ca="1" si="370"/>
        <v/>
      </c>
      <c r="Z826" s="368" t="str">
        <f t="shared" ca="1" si="371"/>
        <v/>
      </c>
      <c r="AA826" s="369" t="str">
        <f t="shared" ca="1" si="372"/>
        <v/>
      </c>
      <c r="AB826" s="344"/>
      <c r="AC826" s="363" t="e">
        <f t="shared" ca="1" si="373"/>
        <v>#N/A</v>
      </c>
      <c r="AD826" s="376" t="e">
        <f t="shared" ca="1" si="374"/>
        <v>#N/A</v>
      </c>
      <c r="AE826" s="377" t="e">
        <f t="shared" ca="1" si="353"/>
        <v>#N/A</v>
      </c>
      <c r="AF826" s="344"/>
      <c r="AG826" s="359">
        <f t="shared" ca="1" si="375"/>
        <v>5.8577469417690988</v>
      </c>
      <c r="AH826" s="357">
        <f t="shared" ca="1" si="376"/>
        <v>-3.6751476325161998</v>
      </c>
    </row>
    <row r="827" spans="1:34" x14ac:dyDescent="0.25">
      <c r="A827" s="402">
        <f t="shared" ca="1" si="354"/>
        <v>0.1</v>
      </c>
      <c r="B827" s="357">
        <f t="shared" ca="1" si="355"/>
        <v>37.300000000000196</v>
      </c>
      <c r="C827" s="342"/>
      <c r="D827" s="359">
        <f t="shared" ca="1" si="356"/>
        <v>-0.86989979610956303</v>
      </c>
      <c r="E827" s="360">
        <f t="shared" ca="1" si="357"/>
        <v>-6.199699249813321</v>
      </c>
      <c r="F827" s="357">
        <f t="shared" ca="1" si="358"/>
        <v>6.2604310109933579</v>
      </c>
      <c r="G827" s="359">
        <f t="shared" ca="1" si="359"/>
        <v>29.937106225558757</v>
      </c>
      <c r="H827" s="360">
        <f t="shared" ca="1" si="360"/>
        <v>-125.22744487552016</v>
      </c>
      <c r="I827" s="357">
        <f t="shared" ca="1" si="361"/>
        <v>128.75613880204637</v>
      </c>
      <c r="J827" s="359">
        <f t="shared" ca="1" si="362"/>
        <v>1485.9541116342282</v>
      </c>
      <c r="K827" s="360">
        <f t="shared" ca="1" si="363"/>
        <v>1496.8674012978743</v>
      </c>
      <c r="L827" s="357">
        <f t="shared" ca="1" si="348"/>
        <v>2109.1874357085762</v>
      </c>
      <c r="M827" s="359">
        <f t="shared" ca="1" si="364"/>
        <v>-1.3361385783708088</v>
      </c>
      <c r="N827" s="357">
        <f t="shared" ca="1" si="365"/>
        <v>-76.555101385257132</v>
      </c>
      <c r="O827" s="343"/>
      <c r="P827" s="363">
        <f t="shared" ca="1" si="366"/>
        <v>23</v>
      </c>
      <c r="Q827" s="357">
        <f t="shared" ca="1" si="367"/>
        <v>0</v>
      </c>
      <c r="R827" s="359">
        <f t="shared" ca="1" si="368"/>
        <v>0</v>
      </c>
      <c r="S827" s="360">
        <f t="shared" ca="1" si="369"/>
        <v>10.637999999999975</v>
      </c>
      <c r="T827" s="357">
        <f t="shared" ca="1" si="349"/>
        <v>104.35877999999975</v>
      </c>
      <c r="U827" s="364">
        <f t="shared" ca="1" si="350"/>
        <v>0</v>
      </c>
      <c r="V827" s="359">
        <f t="shared" ca="1" si="351"/>
        <v>1.054401881459325</v>
      </c>
      <c r="W827" s="357">
        <f t="shared" ca="1" si="352"/>
        <v>39.915557889001363</v>
      </c>
      <c r="X827" s="343"/>
      <c r="Y827" s="367" t="str">
        <f t="shared" ca="1" si="370"/>
        <v/>
      </c>
      <c r="Z827" s="368" t="str">
        <f t="shared" ca="1" si="371"/>
        <v/>
      </c>
      <c r="AA827" s="369" t="str">
        <f t="shared" ca="1" si="372"/>
        <v/>
      </c>
      <c r="AB827" s="344"/>
      <c r="AC827" s="363" t="e">
        <f t="shared" ca="1" si="373"/>
        <v>#N/A</v>
      </c>
      <c r="AD827" s="376" t="e">
        <f t="shared" ca="1" si="374"/>
        <v>#N/A</v>
      </c>
      <c r="AE827" s="377" t="e">
        <f t="shared" ca="1" si="353"/>
        <v>#N/A</v>
      </c>
      <c r="AF827" s="344"/>
      <c r="AG827" s="359">
        <f t="shared" ca="1" si="375"/>
        <v>5.823437682940714</v>
      </c>
      <c r="AH827" s="357">
        <f t="shared" ca="1" si="376"/>
        <v>-3.7136231852558708</v>
      </c>
    </row>
    <row r="828" spans="1:34" x14ac:dyDescent="0.25">
      <c r="A828" s="402">
        <f t="shared" ca="1" si="354"/>
        <v>0.1</v>
      </c>
      <c r="B828" s="357">
        <f t="shared" ca="1" si="355"/>
        <v>37.400000000000198</v>
      </c>
      <c r="C828" s="342"/>
      <c r="D828" s="359">
        <f t="shared" ca="1" si="356"/>
        <v>-0.87241694365991718</v>
      </c>
      <c r="E828" s="360">
        <f t="shared" ca="1" si="357"/>
        <v>-6.1606644931710353</v>
      </c>
      <c r="F828" s="357">
        <f t="shared" ca="1" si="358"/>
        <v>6.2221297255042218</v>
      </c>
      <c r="G828" s="359">
        <f t="shared" ca="1" si="359"/>
        <v>29.849864531192765</v>
      </c>
      <c r="H828" s="360">
        <f t="shared" ca="1" si="360"/>
        <v>-125.84351132483727</v>
      </c>
      <c r="I828" s="357">
        <f t="shared" ca="1" si="361"/>
        <v>129.33523787079454</v>
      </c>
      <c r="J828" s="359">
        <f t="shared" ca="1" si="362"/>
        <v>1488.9434601720657</v>
      </c>
      <c r="K828" s="360">
        <f t="shared" ca="1" si="363"/>
        <v>1484.3138534878565</v>
      </c>
      <c r="L828" s="357">
        <f t="shared" ca="1" si="348"/>
        <v>2102.4129573528448</v>
      </c>
      <c r="M828" s="359">
        <f t="shared" ca="1" si="364"/>
        <v>-1.3379021546156702</v>
      </c>
      <c r="N828" s="357">
        <f t="shared" ca="1" si="365"/>
        <v>-76.656146860937213</v>
      </c>
      <c r="O828" s="343"/>
      <c r="P828" s="363">
        <f t="shared" ca="1" si="366"/>
        <v>23</v>
      </c>
      <c r="Q828" s="357">
        <f t="shared" ca="1" si="367"/>
        <v>0</v>
      </c>
      <c r="R828" s="359">
        <f t="shared" ca="1" si="368"/>
        <v>0</v>
      </c>
      <c r="S828" s="360">
        <f t="shared" ca="1" si="369"/>
        <v>10.637999999999975</v>
      </c>
      <c r="T828" s="357">
        <f t="shared" ca="1" si="349"/>
        <v>104.35877999999975</v>
      </c>
      <c r="U828" s="364">
        <f t="shared" ca="1" si="350"/>
        <v>0</v>
      </c>
      <c r="V828" s="359">
        <f t="shared" ca="1" si="351"/>
        <v>1.0557337639058522</v>
      </c>
      <c r="W828" s="357">
        <f t="shared" ca="1" si="352"/>
        <v>40.326291598293778</v>
      </c>
      <c r="X828" s="343"/>
      <c r="Y828" s="367" t="str">
        <f t="shared" ca="1" si="370"/>
        <v/>
      </c>
      <c r="Z828" s="368" t="str">
        <f t="shared" ca="1" si="371"/>
        <v/>
      </c>
      <c r="AA828" s="369" t="str">
        <f t="shared" ca="1" si="372"/>
        <v/>
      </c>
      <c r="AB828" s="344"/>
      <c r="AC828" s="363" t="e">
        <f t="shared" ca="1" si="373"/>
        <v>#N/A</v>
      </c>
      <c r="AD828" s="376" t="e">
        <f t="shared" ca="1" si="374"/>
        <v>#N/A</v>
      </c>
      <c r="AE828" s="377" t="e">
        <f t="shared" ca="1" si="353"/>
        <v>#N/A</v>
      </c>
      <c r="AF828" s="344"/>
      <c r="AG828" s="359">
        <f t="shared" ca="1" si="375"/>
        <v>5.7889793949613173</v>
      </c>
      <c r="AH828" s="357">
        <f t="shared" ca="1" si="376"/>
        <v>-3.7521675022562002</v>
      </c>
    </row>
    <row r="829" spans="1:34" x14ac:dyDescent="0.25">
      <c r="A829" s="402">
        <f t="shared" ca="1" si="354"/>
        <v>0.1</v>
      </c>
      <c r="B829" s="357">
        <f t="shared" ca="1" si="355"/>
        <v>37.500000000000199</v>
      </c>
      <c r="C829" s="342"/>
      <c r="D829" s="359">
        <f t="shared" ca="1" si="356"/>
        <v>-0.8748906969070408</v>
      </c>
      <c r="E829" s="360">
        <f t="shared" ca="1" si="357"/>
        <v>-6.1215639198575467</v>
      </c>
      <c r="F829" s="357">
        <f t="shared" ca="1" si="358"/>
        <v>6.1837673433301301</v>
      </c>
      <c r="G829" s="359">
        <f t="shared" ca="1" si="359"/>
        <v>29.76237546150206</v>
      </c>
      <c r="H829" s="360">
        <f t="shared" ca="1" si="360"/>
        <v>-126.45566771682302</v>
      </c>
      <c r="I829" s="357">
        <f t="shared" ca="1" si="361"/>
        <v>129.91087287374745</v>
      </c>
      <c r="J829" s="359">
        <f t="shared" ca="1" si="362"/>
        <v>1491.9240721717003</v>
      </c>
      <c r="K829" s="360">
        <f t="shared" ca="1" si="363"/>
        <v>1471.6988945357734</v>
      </c>
      <c r="L829" s="357">
        <f t="shared" ca="1" si="348"/>
        <v>2095.6466957250227</v>
      </c>
      <c r="M829" s="359">
        <f t="shared" ca="1" si="364"/>
        <v>-1.3396449613312864</v>
      </c>
      <c r="N829" s="357">
        <f t="shared" ca="1" si="365"/>
        <v>-76.756002330249075</v>
      </c>
      <c r="O829" s="343"/>
      <c r="P829" s="363">
        <f t="shared" ca="1" si="366"/>
        <v>23</v>
      </c>
      <c r="Q829" s="357">
        <f t="shared" ca="1" si="367"/>
        <v>0</v>
      </c>
      <c r="R829" s="359">
        <f t="shared" ca="1" si="368"/>
        <v>0</v>
      </c>
      <c r="S829" s="360">
        <f t="shared" ca="1" si="369"/>
        <v>10.637999999999975</v>
      </c>
      <c r="T829" s="357">
        <f t="shared" ca="1" si="349"/>
        <v>104.35877999999975</v>
      </c>
      <c r="U829" s="364">
        <f t="shared" ca="1" si="350"/>
        <v>0</v>
      </c>
      <c r="V829" s="359">
        <f t="shared" ca="1" si="351"/>
        <v>1.0570737306664526</v>
      </c>
      <c r="W829" s="357">
        <f t="shared" ca="1" si="352"/>
        <v>40.737692402451565</v>
      </c>
      <c r="X829" s="343"/>
      <c r="Y829" s="367" t="str">
        <f t="shared" ca="1" si="370"/>
        <v/>
      </c>
      <c r="Z829" s="368" t="str">
        <f t="shared" ca="1" si="371"/>
        <v/>
      </c>
      <c r="AA829" s="369" t="str">
        <f t="shared" ca="1" si="372"/>
        <v/>
      </c>
      <c r="AB829" s="344"/>
      <c r="AC829" s="363" t="e">
        <f t="shared" ca="1" si="373"/>
        <v>#N/A</v>
      </c>
      <c r="AD829" s="376" t="e">
        <f t="shared" ca="1" si="374"/>
        <v>#N/A</v>
      </c>
      <c r="AE829" s="377" t="e">
        <f t="shared" ca="1" si="353"/>
        <v>#N/A</v>
      </c>
      <c r="AF829" s="344"/>
      <c r="AG829" s="359">
        <f t="shared" ca="1" si="375"/>
        <v>5.7543770896801476</v>
      </c>
      <c r="AH829" s="357">
        <f t="shared" ca="1" si="376"/>
        <v>-3.7907775520110802</v>
      </c>
    </row>
    <row r="830" spans="1:34" x14ac:dyDescent="0.25">
      <c r="A830" s="402">
        <f t="shared" ca="1" si="354"/>
        <v>0.1</v>
      </c>
      <c r="B830" s="357">
        <f t="shared" ca="1" si="355"/>
        <v>37.6000000000002</v>
      </c>
      <c r="C830" s="342"/>
      <c r="D830" s="359">
        <f t="shared" ca="1" si="356"/>
        <v>-0.8773210080823608</v>
      </c>
      <c r="E830" s="360">
        <f t="shared" ca="1" si="357"/>
        <v>-6.0824005675368182</v>
      </c>
      <c r="F830" s="357">
        <f t="shared" ca="1" si="358"/>
        <v>6.1453469239087601</v>
      </c>
      <c r="G830" s="359">
        <f t="shared" ca="1" si="359"/>
        <v>29.674643360693825</v>
      </c>
      <c r="H830" s="360">
        <f t="shared" ca="1" si="360"/>
        <v>-127.0639077735767</v>
      </c>
      <c r="I830" s="357">
        <f t="shared" ca="1" si="361"/>
        <v>130.48302999730032</v>
      </c>
      <c r="J830" s="359">
        <f t="shared" ca="1" si="362"/>
        <v>1494.8959231128101</v>
      </c>
      <c r="K830" s="360">
        <f t="shared" ca="1" si="363"/>
        <v>1459.0229157612534</v>
      </c>
      <c r="L830" s="357">
        <f t="shared" ca="1" si="348"/>
        <v>2088.8900616489536</v>
      </c>
      <c r="M830" s="359">
        <f t="shared" ca="1" si="364"/>
        <v>-1.3413673742705559</v>
      </c>
      <c r="N830" s="357">
        <f t="shared" ca="1" si="365"/>
        <v>-76.85468932224795</v>
      </c>
      <c r="O830" s="343"/>
      <c r="P830" s="363">
        <f t="shared" ca="1" si="366"/>
        <v>23</v>
      </c>
      <c r="Q830" s="357">
        <f t="shared" ca="1" si="367"/>
        <v>0</v>
      </c>
      <c r="R830" s="359">
        <f t="shared" ca="1" si="368"/>
        <v>0</v>
      </c>
      <c r="S830" s="360">
        <f t="shared" ca="1" si="369"/>
        <v>10.637999999999975</v>
      </c>
      <c r="T830" s="357">
        <f t="shared" ca="1" si="349"/>
        <v>104.35877999999975</v>
      </c>
      <c r="U830" s="364">
        <f t="shared" ca="1" si="350"/>
        <v>0</v>
      </c>
      <c r="V830" s="359">
        <f t="shared" ca="1" si="351"/>
        <v>1.0584217658629003</v>
      </c>
      <c r="W830" s="357">
        <f t="shared" ca="1" si="352"/>
        <v>41.149728214590461</v>
      </c>
      <c r="X830" s="343"/>
      <c r="Y830" s="367" t="str">
        <f t="shared" ca="1" si="370"/>
        <v/>
      </c>
      <c r="Z830" s="368" t="str">
        <f t="shared" ca="1" si="371"/>
        <v/>
      </c>
      <c r="AA830" s="369" t="str">
        <f t="shared" ca="1" si="372"/>
        <v/>
      </c>
      <c r="AB830" s="344"/>
      <c r="AC830" s="363" t="e">
        <f t="shared" ca="1" si="373"/>
        <v>#N/A</v>
      </c>
      <c r="AD830" s="376" t="e">
        <f t="shared" ca="1" si="374"/>
        <v>#N/A</v>
      </c>
      <c r="AE830" s="377" t="e">
        <f t="shared" ca="1" si="353"/>
        <v>#N/A</v>
      </c>
      <c r="AF830" s="344"/>
      <c r="AG830" s="359">
        <f t="shared" ca="1" si="375"/>
        <v>5.7196357118496106</v>
      </c>
      <c r="AH830" s="357">
        <f t="shared" ca="1" si="376"/>
        <v>-3.8294503104391482</v>
      </c>
    </row>
    <row r="831" spans="1:34" x14ac:dyDescent="0.25">
      <c r="A831" s="402">
        <f t="shared" ca="1" si="354"/>
        <v>0.1</v>
      </c>
      <c r="B831" s="357">
        <f t="shared" ca="1" si="355"/>
        <v>37.700000000000202</v>
      </c>
      <c r="C831" s="342"/>
      <c r="D831" s="359">
        <f t="shared" ca="1" si="356"/>
        <v>-0.87970783555229171</v>
      </c>
      <c r="E831" s="360">
        <f t="shared" ca="1" si="357"/>
        <v>-6.0431774665110698</v>
      </c>
      <c r="F831" s="357">
        <f t="shared" ca="1" si="358"/>
        <v>6.1068715204824189</v>
      </c>
      <c r="G831" s="359">
        <f t="shared" ca="1" si="359"/>
        <v>29.586672577138597</v>
      </c>
      <c r="H831" s="360">
        <f t="shared" ca="1" si="360"/>
        <v>-127.66822552022781</v>
      </c>
      <c r="I831" s="357">
        <f t="shared" ca="1" si="361"/>
        <v>131.05169591298906</v>
      </c>
      <c r="J831" s="359">
        <f t="shared" ca="1" si="362"/>
        <v>1497.8589889097018</v>
      </c>
      <c r="K831" s="360">
        <f t="shared" ca="1" si="363"/>
        <v>1446.2863090965632</v>
      </c>
      <c r="L831" s="357">
        <f t="shared" ca="1" si="348"/>
        <v>2082.1444807067915</v>
      </c>
      <c r="M831" s="359">
        <f t="shared" ca="1" si="364"/>
        <v>-1.3430697603008046</v>
      </c>
      <c r="N831" s="357">
        <f t="shared" ca="1" si="365"/>
        <v>-76.952228856883224</v>
      </c>
      <c r="O831" s="343"/>
      <c r="P831" s="363">
        <f t="shared" ca="1" si="366"/>
        <v>23</v>
      </c>
      <c r="Q831" s="357">
        <f t="shared" ca="1" si="367"/>
        <v>0</v>
      </c>
      <c r="R831" s="359">
        <f t="shared" ca="1" si="368"/>
        <v>0</v>
      </c>
      <c r="S831" s="360">
        <f t="shared" ca="1" si="369"/>
        <v>10.637999999999975</v>
      </c>
      <c r="T831" s="357">
        <f t="shared" ca="1" si="349"/>
        <v>104.35877999999975</v>
      </c>
      <c r="U831" s="364">
        <f t="shared" ca="1" si="350"/>
        <v>0</v>
      </c>
      <c r="V831" s="359">
        <f t="shared" ca="1" si="351"/>
        <v>1.0597778535538984</v>
      </c>
      <c r="W831" s="357">
        <f t="shared" ca="1" si="352"/>
        <v>41.562367035398729</v>
      </c>
      <c r="X831" s="343"/>
      <c r="Y831" s="367" t="str">
        <f t="shared" ca="1" si="370"/>
        <v/>
      </c>
      <c r="Z831" s="368" t="str">
        <f t="shared" ca="1" si="371"/>
        <v/>
      </c>
      <c r="AA831" s="369" t="str">
        <f t="shared" ca="1" si="372"/>
        <v/>
      </c>
      <c r="AB831" s="344"/>
      <c r="AC831" s="363" t="e">
        <f t="shared" ca="1" si="373"/>
        <v>#N/A</v>
      </c>
      <c r="AD831" s="376" t="e">
        <f t="shared" ca="1" si="374"/>
        <v>#N/A</v>
      </c>
      <c r="AE831" s="377" t="e">
        <f t="shared" ca="1" si="353"/>
        <v>#N/A</v>
      </c>
      <c r="AF831" s="344"/>
      <c r="AG831" s="359">
        <f t="shared" ca="1" si="375"/>
        <v>5.6847601408232489</v>
      </c>
      <c r="AH831" s="357">
        <f t="shared" ca="1" si="376"/>
        <v>-3.8681827612888284</v>
      </c>
    </row>
    <row r="832" spans="1:34" x14ac:dyDescent="0.25">
      <c r="A832" s="402">
        <f t="shared" ca="1" si="354"/>
        <v>0.1</v>
      </c>
      <c r="B832" s="357">
        <f t="shared" ca="1" si="355"/>
        <v>37.800000000000203</v>
      </c>
      <c r="C832" s="342"/>
      <c r="D832" s="359">
        <f t="shared" ca="1" si="356"/>
        <v>-0.88205114375457472</v>
      </c>
      <c r="E832" s="360">
        <f t="shared" ca="1" si="357"/>
        <v>-6.0038976392956478</v>
      </c>
      <c r="F832" s="357">
        <f t="shared" ca="1" si="358"/>
        <v>6.0683441797032742</v>
      </c>
      <c r="G832" s="359">
        <f t="shared" ca="1" si="359"/>
        <v>29.498467462763138</v>
      </c>
      <c r="H832" s="360">
        <f t="shared" ca="1" si="360"/>
        <v>-128.26861528415736</v>
      </c>
      <c r="I832" s="357">
        <f t="shared" ca="1" si="361"/>
        <v>131.61685777120979</v>
      </c>
      <c r="J832" s="359">
        <f t="shared" ca="1" si="362"/>
        <v>1500.8132459116969</v>
      </c>
      <c r="K832" s="360">
        <f t="shared" ca="1" si="363"/>
        <v>1433.489467056344</v>
      </c>
      <c r="L832" s="357">
        <f t="shared" ca="1" si="348"/>
        <v>2075.4113932580894</v>
      </c>
      <c r="M832" s="359">
        <f t="shared" ca="1" si="364"/>
        <v>-1.344752477657192</v>
      </c>
      <c r="N832" s="357">
        <f t="shared" ca="1" si="365"/>
        <v>-77.04864145951764</v>
      </c>
      <c r="O832" s="343"/>
      <c r="P832" s="363">
        <f t="shared" ca="1" si="366"/>
        <v>23</v>
      </c>
      <c r="Q832" s="357">
        <f t="shared" ca="1" si="367"/>
        <v>0</v>
      </c>
      <c r="R832" s="359">
        <f t="shared" ca="1" si="368"/>
        <v>0</v>
      </c>
      <c r="S832" s="360">
        <f t="shared" ca="1" si="369"/>
        <v>10.637999999999975</v>
      </c>
      <c r="T832" s="357">
        <f t="shared" ca="1" si="349"/>
        <v>104.35877999999975</v>
      </c>
      <c r="U832" s="364">
        <f t="shared" ca="1" si="350"/>
        <v>0</v>
      </c>
      <c r="V832" s="359">
        <f t="shared" ca="1" si="351"/>
        <v>1.061141977736004</v>
      </c>
      <c r="W832" s="357">
        <f t="shared" ca="1" si="352"/>
        <v>41.97557695738643</v>
      </c>
      <c r="X832" s="343"/>
      <c r="Y832" s="367" t="str">
        <f t="shared" ca="1" si="370"/>
        <v/>
      </c>
      <c r="Z832" s="368" t="str">
        <f t="shared" ca="1" si="371"/>
        <v/>
      </c>
      <c r="AA832" s="369" t="str">
        <f t="shared" ca="1" si="372"/>
        <v/>
      </c>
      <c r="AB832" s="344"/>
      <c r="AC832" s="363" t="e">
        <f t="shared" ca="1" si="373"/>
        <v>#N/A</v>
      </c>
      <c r="AD832" s="376" t="e">
        <f t="shared" ca="1" si="374"/>
        <v>#N/A</v>
      </c>
      <c r="AE832" s="377" t="e">
        <f t="shared" ca="1" si="353"/>
        <v>#N/A</v>
      </c>
      <c r="AF832" s="344"/>
      <c r="AG832" s="359">
        <f t="shared" ca="1" si="375"/>
        <v>5.649755192172357</v>
      </c>
      <c r="AH832" s="357">
        <f t="shared" ca="1" si="376"/>
        <v>-3.9069718965405928</v>
      </c>
    </row>
    <row r="833" spans="1:34" x14ac:dyDescent="0.25">
      <c r="A833" s="402">
        <f t="shared" ca="1" si="354"/>
        <v>0.1</v>
      </c>
      <c r="B833" s="357">
        <f t="shared" ca="1" si="355"/>
        <v>37.900000000000205</v>
      </c>
      <c r="C833" s="342"/>
      <c r="D833" s="359">
        <f t="shared" ca="1" si="356"/>
        <v>-0.88435090313534503</v>
      </c>
      <c r="E833" s="360">
        <f t="shared" ca="1" si="357"/>
        <v>-5.9645641001975207</v>
      </c>
      <c r="F833" s="357">
        <f t="shared" ca="1" si="358"/>
        <v>6.0297679412429597</v>
      </c>
      <c r="G833" s="359">
        <f t="shared" ca="1" si="359"/>
        <v>29.410032372449603</v>
      </c>
      <c r="H833" s="360">
        <f t="shared" ca="1" si="360"/>
        <v>-128.86507169417712</v>
      </c>
      <c r="I833" s="357">
        <f t="shared" ca="1" si="361"/>
        <v>132.17850319508821</v>
      </c>
      <c r="J833" s="359">
        <f t="shared" ca="1" si="362"/>
        <v>1503.7586709034574</v>
      </c>
      <c r="K833" s="360">
        <f t="shared" ca="1" si="363"/>
        <v>1420.6327827074272</v>
      </c>
      <c r="L833" s="357">
        <f t="shared" ca="1" si="348"/>
        <v>2068.6922544497479</v>
      </c>
      <c r="M833" s="359">
        <f t="shared" ca="1" si="364"/>
        <v>-1.3464158761877483</v>
      </c>
      <c r="N833" s="357">
        <f t="shared" ca="1" si="365"/>
        <v>-77.143947174966769</v>
      </c>
      <c r="O833" s="343"/>
      <c r="P833" s="363">
        <f t="shared" ca="1" si="366"/>
        <v>23</v>
      </c>
      <c r="Q833" s="357">
        <f t="shared" ca="1" si="367"/>
        <v>0</v>
      </c>
      <c r="R833" s="359">
        <f t="shared" ca="1" si="368"/>
        <v>0</v>
      </c>
      <c r="S833" s="360">
        <f t="shared" ca="1" si="369"/>
        <v>10.637999999999975</v>
      </c>
      <c r="T833" s="357">
        <f t="shared" ca="1" si="349"/>
        <v>104.35877999999975</v>
      </c>
      <c r="U833" s="364">
        <f t="shared" ca="1" si="350"/>
        <v>0</v>
      </c>
      <c r="V833" s="359">
        <f t="shared" ca="1" si="351"/>
        <v>1.062514122344556</v>
      </c>
      <c r="W833" s="357">
        <f t="shared" ca="1" si="352"/>
        <v>42.389326169103114</v>
      </c>
      <c r="X833" s="343"/>
      <c r="Y833" s="367" t="str">
        <f t="shared" ca="1" si="370"/>
        <v/>
      </c>
      <c r="Z833" s="368" t="str">
        <f t="shared" ca="1" si="371"/>
        <v/>
      </c>
      <c r="AA833" s="369" t="str">
        <f t="shared" ca="1" si="372"/>
        <v/>
      </c>
      <c r="AB833" s="344"/>
      <c r="AC833" s="363" t="e">
        <f t="shared" ca="1" si="373"/>
        <v>#N/A</v>
      </c>
      <c r="AD833" s="376" t="e">
        <f t="shared" ca="1" si="374"/>
        <v>#N/A</v>
      </c>
      <c r="AE833" s="377" t="e">
        <f t="shared" ca="1" si="353"/>
        <v>#N/A</v>
      </c>
      <c r="AF833" s="344"/>
      <c r="AG833" s="359">
        <f t="shared" ca="1" si="375"/>
        <v>5.614625619225011</v>
      </c>
      <c r="AH833" s="357">
        <f t="shared" ca="1" si="376"/>
        <v>-3.9458147168064044</v>
      </c>
    </row>
    <row r="834" spans="1:34" x14ac:dyDescent="0.25">
      <c r="A834" s="402">
        <f t="shared" ca="1" si="354"/>
        <v>0.1</v>
      </c>
      <c r="B834" s="357">
        <f t="shared" ca="1" si="355"/>
        <v>38.000000000000206</v>
      </c>
      <c r="C834" s="342"/>
      <c r="D834" s="359">
        <f t="shared" ca="1" si="356"/>
        <v>-0.88660709008685856</v>
      </c>
      <c r="E834" s="360">
        <f t="shared" ca="1" si="357"/>
        <v>-5.9251798548975048</v>
      </c>
      <c r="F834" s="357">
        <f t="shared" ca="1" si="358"/>
        <v>5.9911458374066902</v>
      </c>
      <c r="G834" s="359">
        <f t="shared" ca="1" si="359"/>
        <v>29.321371663440917</v>
      </c>
      <c r="H834" s="360">
        <f t="shared" ca="1" si="360"/>
        <v>-129.45758967966688</v>
      </c>
      <c r="I834" s="357">
        <f t="shared" ca="1" si="361"/>
        <v>132.7366202744918</v>
      </c>
      <c r="J834" s="359">
        <f t="shared" ca="1" si="362"/>
        <v>1506.6952411052519</v>
      </c>
      <c r="K834" s="360">
        <f t="shared" ca="1" si="363"/>
        <v>1407.7166496387349</v>
      </c>
      <c r="L834" s="357">
        <f t="shared" ca="1" si="348"/>
        <v>2061.9885342162593</v>
      </c>
      <c r="M834" s="359">
        <f t="shared" ca="1" si="364"/>
        <v>-1.3480602975903568</v>
      </c>
      <c r="N834" s="357">
        <f t="shared" ca="1" si="365"/>
        <v>-77.238165581077226</v>
      </c>
      <c r="O834" s="343"/>
      <c r="P834" s="363">
        <f t="shared" ca="1" si="366"/>
        <v>23</v>
      </c>
      <c r="Q834" s="357">
        <f t="shared" ca="1" si="367"/>
        <v>0</v>
      </c>
      <c r="R834" s="359">
        <f t="shared" ca="1" si="368"/>
        <v>0</v>
      </c>
      <c r="S834" s="360">
        <f t="shared" ca="1" si="369"/>
        <v>10.637999999999975</v>
      </c>
      <c r="T834" s="357">
        <f t="shared" ca="1" si="349"/>
        <v>104.35877999999975</v>
      </c>
      <c r="U834" s="364">
        <f t="shared" ca="1" si="350"/>
        <v>0</v>
      </c>
      <c r="V834" s="359">
        <f t="shared" ca="1" si="351"/>
        <v>1.0638942712546082</v>
      </c>
      <c r="W834" s="357">
        <f t="shared" ca="1" si="352"/>
        <v>42.803582959323059</v>
      </c>
      <c r="X834" s="343"/>
      <c r="Y834" s="367" t="str">
        <f t="shared" ca="1" si="370"/>
        <v/>
      </c>
      <c r="Z834" s="368" t="str">
        <f t="shared" ca="1" si="371"/>
        <v/>
      </c>
      <c r="AA834" s="369" t="str">
        <f t="shared" ca="1" si="372"/>
        <v/>
      </c>
      <c r="AB834" s="344"/>
      <c r="AC834" s="363">
        <f t="shared" ca="1" si="373"/>
        <v>38.000000000000206</v>
      </c>
      <c r="AD834" s="376">
        <f t="shared" ca="1" si="374"/>
        <v>1506.6952411052519</v>
      </c>
      <c r="AE834" s="377" t="e">
        <f t="shared" ca="1" si="353"/>
        <v>#N/A</v>
      </c>
      <c r="AF834" s="344"/>
      <c r="AG834" s="359">
        <f t="shared" ca="1" si="375"/>
        <v>5.5793761145312155</v>
      </c>
      <c r="AH834" s="357">
        <f t="shared" ca="1" si="376"/>
        <v>-3.9847082317261906</v>
      </c>
    </row>
    <row r="835" spans="1:34" x14ac:dyDescent="0.25">
      <c r="A835" s="402">
        <f t="shared" ca="1" si="354"/>
        <v>0.1</v>
      </c>
      <c r="B835" s="357">
        <f t="shared" ca="1" si="355"/>
        <v>38.100000000000207</v>
      </c>
      <c r="C835" s="342"/>
      <c r="D835" s="359">
        <f t="shared" ca="1" si="356"/>
        <v>-0.88881968688582258</v>
      </c>
      <c r="E835" s="360">
        <f t="shared" ca="1" si="357"/>
        <v>-5.885747900036276</v>
      </c>
      <c r="F835" s="357">
        <f t="shared" ca="1" si="358"/>
        <v>5.9524808927519661</v>
      </c>
      <c r="G835" s="359">
        <f t="shared" ca="1" si="359"/>
        <v>29.232489694752335</v>
      </c>
      <c r="H835" s="360">
        <f t="shared" ca="1" si="360"/>
        <v>-130.04616446967052</v>
      </c>
      <c r="I835" s="357">
        <f t="shared" ca="1" si="361"/>
        <v>133.29119756017798</v>
      </c>
      <c r="J835" s="359">
        <f t="shared" ca="1" si="362"/>
        <v>1509.6229341731614</v>
      </c>
      <c r="K835" s="360">
        <f t="shared" ca="1" si="363"/>
        <v>1394.7414619312681</v>
      </c>
      <c r="L835" s="357">
        <f t="shared" ca="1" si="348"/>
        <v>2055.3017172696946</v>
      </c>
      <c r="M835" s="359">
        <f t="shared" ca="1" si="364"/>
        <v>-1.349686075641972</v>
      </c>
      <c r="N835" s="357">
        <f t="shared" ca="1" si="365"/>
        <v>-77.331315801859773</v>
      </c>
      <c r="O835" s="343"/>
      <c r="P835" s="363">
        <f t="shared" ca="1" si="366"/>
        <v>23</v>
      </c>
      <c r="Q835" s="357">
        <f t="shared" ca="1" si="367"/>
        <v>0</v>
      </c>
      <c r="R835" s="359">
        <f t="shared" ca="1" si="368"/>
        <v>0</v>
      </c>
      <c r="S835" s="360">
        <f t="shared" ca="1" si="369"/>
        <v>10.637999999999975</v>
      </c>
      <c r="T835" s="357">
        <f t="shared" ca="1" si="349"/>
        <v>104.35877999999975</v>
      </c>
      <c r="U835" s="364">
        <f t="shared" ca="1" si="350"/>
        <v>0</v>
      </c>
      <c r="V835" s="359">
        <f t="shared" ca="1" si="351"/>
        <v>1.0652824082818737</v>
      </c>
      <c r="W835" s="357">
        <f t="shared" ca="1" si="352"/>
        <v>43.218315721197278</v>
      </c>
      <c r="X835" s="343"/>
      <c r="Y835" s="367" t="str">
        <f t="shared" ca="1" si="370"/>
        <v/>
      </c>
      <c r="Z835" s="368" t="str">
        <f t="shared" ca="1" si="371"/>
        <v/>
      </c>
      <c r="AA835" s="369" t="str">
        <f t="shared" ca="1" si="372"/>
        <v/>
      </c>
      <c r="AB835" s="344"/>
      <c r="AC835" s="363" t="e">
        <f t="shared" ca="1" si="373"/>
        <v>#N/A</v>
      </c>
      <c r="AD835" s="376" t="e">
        <f t="shared" ca="1" si="374"/>
        <v>#N/A</v>
      </c>
      <c r="AE835" s="377" t="e">
        <f t="shared" ca="1" si="353"/>
        <v>#N/A</v>
      </c>
      <c r="AF835" s="344"/>
      <c r="AG835" s="359">
        <f t="shared" ca="1" si="375"/>
        <v>5.5440113112576546</v>
      </c>
      <c r="AH835" s="357">
        <f t="shared" ca="1" si="376"/>
        <v>-4.0236494603612671</v>
      </c>
    </row>
    <row r="836" spans="1:34" x14ac:dyDescent="0.25">
      <c r="A836" s="402">
        <f t="shared" ca="1" si="354"/>
        <v>0.1</v>
      </c>
      <c r="B836" s="357">
        <f t="shared" ca="1" si="355"/>
        <v>38.200000000000209</v>
      </c>
      <c r="C836" s="342"/>
      <c r="D836" s="359">
        <f t="shared" ca="1" si="356"/>
        <v>-0.8909886816323016</v>
      </c>
      <c r="E836" s="360">
        <f t="shared" ca="1" si="357"/>
        <v>-5.8462712228042104</v>
      </c>
      <c r="F836" s="357">
        <f t="shared" ca="1" si="358"/>
        <v>5.9137761237119468</v>
      </c>
      <c r="G836" s="359">
        <f t="shared" ca="1" si="359"/>
        <v>29.143390826589105</v>
      </c>
      <c r="H836" s="360">
        <f t="shared" ca="1" si="360"/>
        <v>-130.63079159195092</v>
      </c>
      <c r="I836" s="357">
        <f t="shared" ca="1" si="361"/>
        <v>133.84222405807159</v>
      </c>
      <c r="J836" s="359">
        <f t="shared" ca="1" si="362"/>
        <v>1512.5417281992284</v>
      </c>
      <c r="K836" s="360">
        <f t="shared" ca="1" si="363"/>
        <v>1381.7076141281871</v>
      </c>
      <c r="L836" s="357">
        <f t="shared" ref="L836:L899" ca="1" si="377">SQRT(pos_x^2+pos_z^2)</f>
        <v>2048.6333030788396</v>
      </c>
      <c r="M836" s="359">
        <f t="shared" ca="1" si="364"/>
        <v>-1.3512935364203646</v>
      </c>
      <c r="N836" s="357">
        <f t="shared" ca="1" si="365"/>
        <v>-77.423416520194493</v>
      </c>
      <c r="O836" s="343"/>
      <c r="P836" s="363">
        <f t="shared" ca="1" si="366"/>
        <v>23</v>
      </c>
      <c r="Q836" s="357">
        <f t="shared" ca="1" si="367"/>
        <v>0</v>
      </c>
      <c r="R836" s="359">
        <f t="shared" ca="1" si="368"/>
        <v>0</v>
      </c>
      <c r="S836" s="360">
        <f t="shared" ca="1" si="369"/>
        <v>10.637999999999975</v>
      </c>
      <c r="T836" s="357">
        <f t="shared" ref="T836:T899" ca="1" si="378">m*g</f>
        <v>104.35877999999975</v>
      </c>
      <c r="U836" s="364">
        <f t="shared" ref="U836:U899" ca="1" si="379">IF(pos_xz&lt;L_rampe,Poids*COS(Beta),0)</f>
        <v>0</v>
      </c>
      <c r="V836" s="359">
        <f t="shared" ref="V836:V899" ca="1" si="380">Rho_moyen*(20000-Alt_rampe-pos_z)/(20000+Alt_rampe+pos_z)</f>
        <v>1.0666785171836668</v>
      </c>
      <c r="W836" s="357">
        <f t="shared" ref="W836:W899" ca="1" si="381">1/2*Rho*Sref*Cx*vit_xz^2</f>
        <v>43.633492956370795</v>
      </c>
      <c r="X836" s="343"/>
      <c r="Y836" s="367" t="str">
        <f t="shared" ca="1" si="370"/>
        <v/>
      </c>
      <c r="Z836" s="368" t="str">
        <f t="shared" ca="1" si="371"/>
        <v/>
      </c>
      <c r="AA836" s="369" t="str">
        <f t="shared" ca="1" si="372"/>
        <v/>
      </c>
      <c r="AB836" s="344"/>
      <c r="AC836" s="363" t="e">
        <f t="shared" ca="1" si="373"/>
        <v>#N/A</v>
      </c>
      <c r="AD836" s="376" t="e">
        <f t="shared" ca="1" si="374"/>
        <v>#N/A</v>
      </c>
      <c r="AE836" s="377" t="e">
        <f t="shared" ref="AE836:AE899" ca="1" si="382">IF(t&lt;T_para, pos_z, NA())</f>
        <v>#N/A</v>
      </c>
      <c r="AF836" s="344"/>
      <c r="AG836" s="359">
        <f t="shared" ca="1" si="375"/>
        <v>5.5085357845153151</v>
      </c>
      <c r="AH836" s="357">
        <f t="shared" ca="1" si="376"/>
        <v>-4.0626354315846385</v>
      </c>
    </row>
    <row r="837" spans="1:34" x14ac:dyDescent="0.25">
      <c r="A837" s="402">
        <f t="shared" ref="A837:A900" ca="1" si="383">IF(B836+0.01&lt;=T_ini+ROUNDUP(Temps_fin_propu,0), 0.01, IF(K836&gt;0, 0.1, 0.0001))</f>
        <v>0.1</v>
      </c>
      <c r="B837" s="357">
        <f t="shared" ref="B837:B900" ca="1" si="384">B836+pas</f>
        <v>38.30000000000021</v>
      </c>
      <c r="C837" s="342"/>
      <c r="D837" s="359">
        <f t="shared" ref="D837:D900" ca="1" si="385">IF(AND(L836&lt;L_rampe,Poussee&lt;Poids*SIN(M836)),0,(-W836+Poussee)/m*COS(M836)-U836/m*SIN(M836))</f>
        <v>-0.89311406818911865</v>
      </c>
      <c r="E837" s="360">
        <f t="shared" ref="E837:E900" ca="1" si="386">IF(AND(L836&lt;L_rampe,Poussee&lt;Poids*SIN(M836)),0,(-W836+Poussee)/m*SIN(M836)+U836/m*COS(M836)-Poids/m)</f>
        <v>-5.8067528005351585</v>
      </c>
      <c r="F837" s="357">
        <f t="shared" ref="F837:F900" ca="1" si="387">SQRT(acc_x^2+acc_z^2)</f>
        <v>5.8750345382236029</v>
      </c>
      <c r="G837" s="359">
        <f t="shared" ref="G837:G900" ca="1" si="388">G836+acc_x*pas</f>
        <v>29.054079419770193</v>
      </c>
      <c r="H837" s="360">
        <f t="shared" ref="H837:H900" ca="1" si="389">H836+acc_z*pas</f>
        <v>-131.21146687200445</v>
      </c>
      <c r="I837" s="357">
        <f t="shared" ref="I837:I900" ca="1" si="390">SQRT(vit_x^2+vit_z^2)</f>
        <v>134.38968922366567</v>
      </c>
      <c r="J837" s="359">
        <f t="shared" ref="J837:J900" ca="1" si="391">J836+0.5*(vit_x+G836)*pas*(K836&gt;=0)</f>
        <v>1515.4516017115463</v>
      </c>
      <c r="K837" s="360">
        <f t="shared" ref="K837:K900" ca="1" si="392">K836+0.5*(vit_z+H836)*pas</f>
        <v>1368.6155012049892</v>
      </c>
      <c r="L837" s="357">
        <f t="shared" ca="1" si="377"/>
        <v>2041.9848058368786</v>
      </c>
      <c r="M837" s="359">
        <f t="shared" ref="M837:M900" ca="1" si="393">IF(AND(L836&gt;L_rampe,G837&gt;0),ATAN2(G837,H837),$M$4)</f>
        <v>-1.3528829985186634</v>
      </c>
      <c r="N837" s="357">
        <f t="shared" ref="N837:N900" ca="1" si="394">DEGREES(Beta)</f>
        <v>-77.514485990123021</v>
      </c>
      <c r="O837" s="343"/>
      <c r="P837" s="363">
        <f t="shared" ref="P837:P900" ca="1" si="395">MATCH(t-pas/2-T_ini,CdP_t)</f>
        <v>23</v>
      </c>
      <c r="Q837" s="357">
        <f t="shared" ref="Q837:Q900" ca="1" si="396">(INDEX(CdP,2,i_P+1)-INDEX(CdP,2,i_P+0))/(INDEX(CdP,1,i_P+1)-INDEX(CdP,1,i_P+0))*(t-pas/2-T_ini-INDEX(CdP,1,i_P+0))+INDEX(CdP,2,i_P+0)</f>
        <v>0</v>
      </c>
      <c r="R837" s="359">
        <f t="shared" ref="R837:R900" ca="1" si="397">Poussee/(g*ISP)</f>
        <v>0</v>
      </c>
      <c r="S837" s="360">
        <f t="shared" ref="S837:S900" ca="1" si="398">S836-Débit*pas</f>
        <v>10.637999999999975</v>
      </c>
      <c r="T837" s="357">
        <f t="shared" ca="1" si="378"/>
        <v>104.35877999999975</v>
      </c>
      <c r="U837" s="364">
        <f t="shared" ca="1" si="379"/>
        <v>0</v>
      </c>
      <c r="V837" s="359">
        <f t="shared" ca="1" si="380"/>
        <v>1.0680825816598583</v>
      </c>
      <c r="W837" s="357">
        <f t="shared" ca="1" si="381"/>
        <v>44.049083279064867</v>
      </c>
      <c r="X837" s="343"/>
      <c r="Y837" s="367" t="str">
        <f t="shared" ref="Y837:Y900" ca="1" si="399">IF(AND(pos_z&lt;=0,K836&gt;0),"Impact balistique","") &amp; IF(AND(H838&lt;0,vit_z&gt;=0),"Apogée","") &amp; IF(AND(Poussee=0,Q836&gt;0),"Fin de propulsion","") &amp; IF(AND(L838&gt;L_rampe,pos_xz&lt;=L_rampe),"Sortie de rampe","")</f>
        <v/>
      </c>
      <c r="Z837" s="368" t="str">
        <f t="shared" ref="Z837:Z900" ca="1" si="400">IF(ABS(t-T_para)&lt;pas/2,"Para","")</f>
        <v/>
      </c>
      <c r="AA837" s="369" t="str">
        <f t="shared" ref="AA837:AA900" ca="1" si="401">IF(ABS(t-T_satellite)&lt;pas/2,"Satellite","")</f>
        <v/>
      </c>
      <c r="AB837" s="344"/>
      <c r="AC837" s="363" t="e">
        <f t="shared" ref="AC837:AC900" ca="1" si="402">IF(ABS(t-ROUND(t,0))&lt;0.001,t,NA())</f>
        <v>#N/A</v>
      </c>
      <c r="AD837" s="376" t="e">
        <f t="shared" ref="AD837:AD900" ca="1" si="403">IF(ABS(t-ROUND(t,0))&lt;0.001,pos_x,NA())</f>
        <v>#N/A</v>
      </c>
      <c r="AE837" s="377" t="e">
        <f t="shared" ca="1" si="382"/>
        <v>#N/A</v>
      </c>
      <c r="AF837" s="344"/>
      <c r="AG837" s="359">
        <f t="shared" ref="AG837:AG900" ca="1" si="404">IF(AND(L836&lt;L_rampe,Poussee&lt;Poids*SIN(M836)),0,(-W836+Poussee)/m-Poids*SIN(M836)/m)</f>
        <v>5.4729540526231988</v>
      </c>
      <c r="AH837" s="357">
        <f t="shared" ref="AH837:AH900" ca="1" si="405">IF(AND(L836&lt;L_rampe,Poussee&lt;Poids*SIN(M836)), g*SIN(M836), (-W836+Poussee)/m)</f>
        <v>-4.1016631844680296</v>
      </c>
    </row>
    <row r="838" spans="1:34" x14ac:dyDescent="0.25">
      <c r="A838" s="402">
        <f t="shared" ca="1" si="383"/>
        <v>0.1</v>
      </c>
      <c r="B838" s="357">
        <f t="shared" ca="1" si="384"/>
        <v>38.400000000000212</v>
      </c>
      <c r="C838" s="342"/>
      <c r="D838" s="359">
        <f t="shared" ca="1" si="385"/>
        <v>-0.89519584612174585</v>
      </c>
      <c r="E838" s="360">
        <f t="shared" ca="1" si="386"/>
        <v>-5.767195600304154</v>
      </c>
      <c r="F838" s="357">
        <f t="shared" ca="1" si="387"/>
        <v>5.8362591353606996</v>
      </c>
      <c r="G838" s="359">
        <f t="shared" ca="1" si="388"/>
        <v>28.96455983515802</v>
      </c>
      <c r="H838" s="360">
        <f t="shared" ca="1" si="389"/>
        <v>-131.78818643203488</v>
      </c>
      <c r="I838" s="357">
        <f t="shared" ca="1" si="390"/>
        <v>134.93358295653914</v>
      </c>
      <c r="J838" s="359">
        <f t="shared" ca="1" si="391"/>
        <v>1518.3525336742928</v>
      </c>
      <c r="K838" s="360">
        <f t="shared" ca="1" si="392"/>
        <v>1355.4655185397871</v>
      </c>
      <c r="L838" s="357">
        <f t="shared" ca="1" si="377"/>
        <v>2035.3577544170162</v>
      </c>
      <c r="M838" s="359">
        <f t="shared" ca="1" si="393"/>
        <v>-1.3544547732529564</v>
      </c>
      <c r="N838" s="357">
        <f t="shared" ca="1" si="394"/>
        <v>-77.604542048743298</v>
      </c>
      <c r="O838" s="343"/>
      <c r="P838" s="363">
        <f t="shared" ca="1" si="395"/>
        <v>23</v>
      </c>
      <c r="Q838" s="357">
        <f t="shared" ca="1" si="396"/>
        <v>0</v>
      </c>
      <c r="R838" s="359">
        <f t="shared" ca="1" si="397"/>
        <v>0</v>
      </c>
      <c r="S838" s="360">
        <f t="shared" ca="1" si="398"/>
        <v>10.637999999999975</v>
      </c>
      <c r="T838" s="357">
        <f t="shared" ca="1" si="378"/>
        <v>104.35877999999975</v>
      </c>
      <c r="U838" s="364">
        <f t="shared" ca="1" si="379"/>
        <v>0</v>
      </c>
      <c r="V838" s="359">
        <f t="shared" ca="1" si="380"/>
        <v>1.069494585353832</v>
      </c>
      <c r="W838" s="357">
        <f t="shared" ca="1" si="381"/>
        <v>44.465055420122525</v>
      </c>
      <c r="X838" s="343"/>
      <c r="Y838" s="367" t="str">
        <f t="shared" ca="1" si="399"/>
        <v/>
      </c>
      <c r="Z838" s="368" t="str">
        <f t="shared" ca="1" si="400"/>
        <v/>
      </c>
      <c r="AA838" s="369" t="str">
        <f t="shared" ca="1" si="401"/>
        <v/>
      </c>
      <c r="AB838" s="344"/>
      <c r="AC838" s="363" t="e">
        <f t="shared" ca="1" si="402"/>
        <v>#N/A</v>
      </c>
      <c r="AD838" s="376" t="e">
        <f t="shared" ca="1" si="403"/>
        <v>#N/A</v>
      </c>
      <c r="AE838" s="377" t="e">
        <f t="shared" ca="1" si="382"/>
        <v>#N/A</v>
      </c>
      <c r="AF838" s="344"/>
      <c r="AG838" s="359">
        <f t="shared" ca="1" si="404"/>
        <v>5.4372705783110939</v>
      </c>
      <c r="AH838" s="357">
        <f t="shared" ca="1" si="405"/>
        <v>-4.1407297686656301</v>
      </c>
    </row>
    <row r="839" spans="1:34" x14ac:dyDescent="0.25">
      <c r="A839" s="402">
        <f t="shared" ca="1" si="383"/>
        <v>0.1</v>
      </c>
      <c r="B839" s="357">
        <f t="shared" ca="1" si="384"/>
        <v>38.500000000000213</v>
      </c>
      <c r="C839" s="342"/>
      <c r="D839" s="359">
        <f t="shared" ca="1" si="385"/>
        <v>-0.89723402063861535</v>
      </c>
      <c r="E839" s="360">
        <f t="shared" ca="1" si="386"/>
        <v>-5.7276025785291926</v>
      </c>
      <c r="F839" s="357">
        <f t="shared" ca="1" si="387"/>
        <v>5.7974529049717685</v>
      </c>
      <c r="G839" s="359">
        <f t="shared" ca="1" si="388"/>
        <v>28.87483643309416</v>
      </c>
      <c r="H839" s="360">
        <f t="shared" ca="1" si="389"/>
        <v>-132.36094668988778</v>
      </c>
      <c r="I839" s="357">
        <f t="shared" ca="1" si="390"/>
        <v>135.47389559498632</v>
      </c>
      <c r="J839" s="359">
        <f t="shared" ca="1" si="391"/>
        <v>1521.2445034877053</v>
      </c>
      <c r="K839" s="360">
        <f t="shared" ca="1" si="392"/>
        <v>1342.258061883691</v>
      </c>
      <c r="L839" s="357">
        <f t="shared" ca="1" si="377"/>
        <v>2028.7536923153875</v>
      </c>
      <c r="M839" s="359">
        <f t="shared" ca="1" si="393"/>
        <v>-1.3560091648632071</v>
      </c>
      <c r="N839" s="357">
        <f t="shared" ca="1" si="394"/>
        <v>-77.693602127721206</v>
      </c>
      <c r="O839" s="343"/>
      <c r="P839" s="363">
        <f t="shared" ca="1" si="395"/>
        <v>23</v>
      </c>
      <c r="Q839" s="357">
        <f t="shared" ca="1" si="396"/>
        <v>0</v>
      </c>
      <c r="R839" s="359">
        <f t="shared" ca="1" si="397"/>
        <v>0</v>
      </c>
      <c r="S839" s="360">
        <f t="shared" ca="1" si="398"/>
        <v>10.637999999999975</v>
      </c>
      <c r="T839" s="357">
        <f t="shared" ca="1" si="378"/>
        <v>104.35877999999975</v>
      </c>
      <c r="U839" s="364">
        <f t="shared" ca="1" si="379"/>
        <v>0</v>
      </c>
      <c r="V839" s="359">
        <f t="shared" ca="1" si="380"/>
        <v>1.0709145118534475</v>
      </c>
      <c r="W839" s="357">
        <f t="shared" ca="1" si="381"/>
        <v>44.881378231017017</v>
      </c>
      <c r="X839" s="343"/>
      <c r="Y839" s="367" t="str">
        <f t="shared" ca="1" si="399"/>
        <v/>
      </c>
      <c r="Z839" s="368" t="str">
        <f t="shared" ca="1" si="400"/>
        <v/>
      </c>
      <c r="AA839" s="369" t="str">
        <f t="shared" ca="1" si="401"/>
        <v/>
      </c>
      <c r="AB839" s="344"/>
      <c r="AC839" s="363" t="e">
        <f t="shared" ca="1" si="402"/>
        <v>#N/A</v>
      </c>
      <c r="AD839" s="376" t="e">
        <f t="shared" ca="1" si="403"/>
        <v>#N/A</v>
      </c>
      <c r="AE839" s="377" t="e">
        <f t="shared" ca="1" si="382"/>
        <v>#N/A</v>
      </c>
      <c r="AF839" s="344"/>
      <c r="AG839" s="359">
        <f t="shared" ca="1" si="404"/>
        <v>5.4014897698643018</v>
      </c>
      <c r="AH839" s="357">
        <f t="shared" ca="1" si="405"/>
        <v>-4.1798322447943814</v>
      </c>
    </row>
    <row r="840" spans="1:34" x14ac:dyDescent="0.25">
      <c r="A840" s="402">
        <f t="shared" ca="1" si="383"/>
        <v>0.1</v>
      </c>
      <c r="B840" s="357">
        <f t="shared" ca="1" si="384"/>
        <v>38.600000000000215</v>
      </c>
      <c r="C840" s="342"/>
      <c r="D840" s="359">
        <f t="shared" ca="1" si="385"/>
        <v>-0.89922860253182046</v>
      </c>
      <c r="E840" s="360">
        <f t="shared" ca="1" si="386"/>
        <v>-5.6879766805770817</v>
      </c>
      <c r="F840" s="357">
        <f t="shared" ca="1" si="387"/>
        <v>5.7586188273230938</v>
      </c>
      <c r="G840" s="359">
        <f t="shared" ca="1" si="388"/>
        <v>28.784913572840978</v>
      </c>
      <c r="H840" s="360">
        <f t="shared" ca="1" si="389"/>
        <v>-132.92974435794548</v>
      </c>
      <c r="I840" s="357">
        <f t="shared" ca="1" si="390"/>
        <v>136.01061791075233</v>
      </c>
      <c r="J840" s="359">
        <f t="shared" ca="1" si="391"/>
        <v>1524.1274909880021</v>
      </c>
      <c r="K840" s="360">
        <f t="shared" ca="1" si="392"/>
        <v>1328.9935273312992</v>
      </c>
      <c r="L840" s="357">
        <f t="shared" ca="1" si="377"/>
        <v>2022.1741775806236</v>
      </c>
      <c r="M840" s="359">
        <f t="shared" ca="1" si="393"/>
        <v>-1.3575464707077236</v>
      </c>
      <c r="N840" s="357">
        <f t="shared" ca="1" si="394"/>
        <v>-77.7816832644328</v>
      </c>
      <c r="O840" s="343"/>
      <c r="P840" s="363">
        <f t="shared" ca="1" si="395"/>
        <v>23</v>
      </c>
      <c r="Q840" s="357">
        <f t="shared" ca="1" si="396"/>
        <v>0</v>
      </c>
      <c r="R840" s="359">
        <f t="shared" ca="1" si="397"/>
        <v>0</v>
      </c>
      <c r="S840" s="360">
        <f t="shared" ca="1" si="398"/>
        <v>10.637999999999975</v>
      </c>
      <c r="T840" s="357">
        <f t="shared" ca="1" si="378"/>
        <v>104.35877999999975</v>
      </c>
      <c r="U840" s="364">
        <f t="shared" ca="1" si="379"/>
        <v>0</v>
      </c>
      <c r="V840" s="359">
        <f t="shared" ca="1" si="380"/>
        <v>1.0723423446920104</v>
      </c>
      <c r="W840" s="357">
        <f t="shared" ca="1" si="381"/>
        <v>45.298020687821783</v>
      </c>
      <c r="X840" s="343"/>
      <c r="Y840" s="367" t="str">
        <f t="shared" ca="1" si="399"/>
        <v/>
      </c>
      <c r="Z840" s="368" t="str">
        <f t="shared" ca="1" si="400"/>
        <v/>
      </c>
      <c r="AA840" s="369" t="str">
        <f t="shared" ca="1" si="401"/>
        <v/>
      </c>
      <c r="AB840" s="344"/>
      <c r="AC840" s="363" t="e">
        <f t="shared" ca="1" si="402"/>
        <v>#N/A</v>
      </c>
      <c r="AD840" s="376" t="e">
        <f t="shared" ca="1" si="403"/>
        <v>#N/A</v>
      </c>
      <c r="AE840" s="377" t="e">
        <f t="shared" ca="1" si="382"/>
        <v>#N/A</v>
      </c>
      <c r="AF840" s="344"/>
      <c r="AG840" s="359">
        <f t="shared" ca="1" si="404"/>
        <v>5.3656159822130567</v>
      </c>
      <c r="AH840" s="357">
        <f t="shared" ca="1" si="405"/>
        <v>-4.2189676848107842</v>
      </c>
    </row>
    <row r="841" spans="1:34" x14ac:dyDescent="0.25">
      <c r="A841" s="402">
        <f t="shared" ca="1" si="383"/>
        <v>0.1</v>
      </c>
      <c r="B841" s="357">
        <f t="shared" ca="1" si="384"/>
        <v>38.700000000000216</v>
      </c>
      <c r="C841" s="342"/>
      <c r="D841" s="359">
        <f t="shared" ca="1" si="385"/>
        <v>-0.90117960811817832</v>
      </c>
      <c r="E841" s="360">
        <f t="shared" ca="1" si="386"/>
        <v>-5.6483208403734784</v>
      </c>
      <c r="F841" s="357">
        <f t="shared" ca="1" si="387"/>
        <v>5.719759872746879</v>
      </c>
      <c r="G841" s="359">
        <f t="shared" ca="1" si="388"/>
        <v>28.694795612029161</v>
      </c>
      <c r="H841" s="360">
        <f t="shared" ca="1" si="389"/>
        <v>-133.49457644198282</v>
      </c>
      <c r="I841" s="357">
        <f t="shared" ca="1" si="390"/>
        <v>136.54374110386942</v>
      </c>
      <c r="J841" s="359">
        <f t="shared" ca="1" si="391"/>
        <v>1527.0014764472458</v>
      </c>
      <c r="K841" s="360">
        <f t="shared" ca="1" si="392"/>
        <v>1315.6723112913028</v>
      </c>
      <c r="L841" s="357">
        <f t="shared" ca="1" si="377"/>
        <v>2015.620782729397</v>
      </c>
      <c r="M841" s="359">
        <f t="shared" ca="1" si="393"/>
        <v>-1.3590669814514174</v>
      </c>
      <c r="N841" s="357">
        <f t="shared" ca="1" si="394"/>
        <v>-77.868802112750757</v>
      </c>
      <c r="O841" s="343"/>
      <c r="P841" s="363">
        <f t="shared" ca="1" si="395"/>
        <v>23</v>
      </c>
      <c r="Q841" s="357">
        <f t="shared" ca="1" si="396"/>
        <v>0</v>
      </c>
      <c r="R841" s="359">
        <f t="shared" ca="1" si="397"/>
        <v>0</v>
      </c>
      <c r="S841" s="360">
        <f t="shared" ca="1" si="398"/>
        <v>10.637999999999975</v>
      </c>
      <c r="T841" s="357">
        <f t="shared" ca="1" si="378"/>
        <v>104.35877999999975</v>
      </c>
      <c r="U841" s="364">
        <f t="shared" ca="1" si="379"/>
        <v>0</v>
      </c>
      <c r="V841" s="359">
        <f t="shared" ca="1" si="380"/>
        <v>1.0737780673492436</v>
      </c>
      <c r="W841" s="357">
        <f t="shared" ca="1" si="381"/>
        <v>45.714951895141262</v>
      </c>
      <c r="X841" s="343"/>
      <c r="Y841" s="367" t="str">
        <f t="shared" ca="1" si="399"/>
        <v/>
      </c>
      <c r="Z841" s="368" t="str">
        <f t="shared" ca="1" si="400"/>
        <v/>
      </c>
      <c r="AA841" s="369" t="str">
        <f t="shared" ca="1" si="401"/>
        <v/>
      </c>
      <c r="AB841" s="344"/>
      <c r="AC841" s="363" t="e">
        <f t="shared" ca="1" si="402"/>
        <v>#N/A</v>
      </c>
      <c r="AD841" s="376" t="e">
        <f t="shared" ca="1" si="403"/>
        <v>#N/A</v>
      </c>
      <c r="AE841" s="377" t="e">
        <f t="shared" ca="1" si="382"/>
        <v>#N/A</v>
      </c>
      <c r="AF841" s="344"/>
      <c r="AG841" s="359">
        <f t="shared" ca="1" si="404"/>
        <v>5.3296535179692572</v>
      </c>
      <c r="AH841" s="357">
        <f t="shared" ca="1" si="405"/>
        <v>-4.2581331723840847</v>
      </c>
    </row>
    <row r="842" spans="1:34" x14ac:dyDescent="0.25">
      <c r="A842" s="402">
        <f t="shared" ca="1" si="383"/>
        <v>0.1</v>
      </c>
      <c r="B842" s="357">
        <f t="shared" ca="1" si="384"/>
        <v>38.800000000000217</v>
      </c>
      <c r="C842" s="342"/>
      <c r="D842" s="359">
        <f t="shared" ca="1" si="385"/>
        <v>-0.90308705918059973</v>
      </c>
      <c r="E842" s="360">
        <f t="shared" ca="1" si="386"/>
        <v>-5.6086379800171455</v>
      </c>
      <c r="F842" s="357">
        <f t="shared" ca="1" si="387"/>
        <v>5.6808790012946293</v>
      </c>
      <c r="G842" s="359">
        <f t="shared" ca="1" si="388"/>
        <v>28.604486906111102</v>
      </c>
      <c r="H842" s="360">
        <f t="shared" ca="1" si="389"/>
        <v>-134.05544023998453</v>
      </c>
      <c r="I842" s="357">
        <f t="shared" ca="1" si="390"/>
        <v>137.07325679758961</v>
      </c>
      <c r="J842" s="359">
        <f t="shared" ca="1" si="391"/>
        <v>1529.8664405731527</v>
      </c>
      <c r="K842" s="360">
        <f t="shared" ca="1" si="392"/>
        <v>1302.2948104572044</v>
      </c>
      <c r="L842" s="357">
        <f t="shared" ca="1" si="377"/>
        <v>2009.0950946472728</v>
      </c>
      <c r="M842" s="359">
        <f t="shared" ca="1" si="393"/>
        <v>-1.3605709812480709</v>
      </c>
      <c r="N842" s="357">
        <f t="shared" ca="1" si="394"/>
        <v>-77.954974953487536</v>
      </c>
      <c r="O842" s="343"/>
      <c r="P842" s="363">
        <f t="shared" ca="1" si="395"/>
        <v>23</v>
      </c>
      <c r="Q842" s="357">
        <f t="shared" ca="1" si="396"/>
        <v>0</v>
      </c>
      <c r="R842" s="359">
        <f t="shared" ca="1" si="397"/>
        <v>0</v>
      </c>
      <c r="S842" s="360">
        <f t="shared" ca="1" si="398"/>
        <v>10.637999999999975</v>
      </c>
      <c r="T842" s="357">
        <f t="shared" ca="1" si="378"/>
        <v>104.35877999999975</v>
      </c>
      <c r="U842" s="364">
        <f t="shared" ca="1" si="379"/>
        <v>0</v>
      </c>
      <c r="V842" s="359">
        <f t="shared" ca="1" si="380"/>
        <v>1.0752216632522666</v>
      </c>
      <c r="W842" s="357">
        <f t="shared" ca="1" si="381"/>
        <v>46.132141090001589</v>
      </c>
      <c r="X842" s="343"/>
      <c r="Y842" s="367" t="str">
        <f t="shared" ca="1" si="399"/>
        <v/>
      </c>
      <c r="Z842" s="368" t="str">
        <f t="shared" ca="1" si="400"/>
        <v/>
      </c>
      <c r="AA842" s="369" t="str">
        <f t="shared" ca="1" si="401"/>
        <v/>
      </c>
      <c r="AB842" s="344"/>
      <c r="AC842" s="363" t="e">
        <f t="shared" ca="1" si="402"/>
        <v>#N/A</v>
      </c>
      <c r="AD842" s="376" t="e">
        <f t="shared" ca="1" si="403"/>
        <v>#N/A</v>
      </c>
      <c r="AE842" s="377" t="e">
        <f t="shared" ca="1" si="382"/>
        <v>#N/A</v>
      </c>
      <c r="AF842" s="344"/>
      <c r="AG842" s="359">
        <f t="shared" ca="1" si="404"/>
        <v>5.293606628412995</v>
      </c>
      <c r="AH842" s="357">
        <f t="shared" ca="1" si="405"/>
        <v>-4.29732580326578</v>
      </c>
    </row>
    <row r="843" spans="1:34" x14ac:dyDescent="0.25">
      <c r="A843" s="402">
        <f t="shared" ca="1" si="383"/>
        <v>0.1</v>
      </c>
      <c r="B843" s="357">
        <f t="shared" ca="1" si="384"/>
        <v>38.900000000000219</v>
      </c>
      <c r="C843" s="342"/>
      <c r="D843" s="359">
        <f t="shared" ca="1" si="385"/>
        <v>-0.90495098290975984</v>
      </c>
      <c r="E843" s="360">
        <f t="shared" ca="1" si="386"/>
        <v>-5.5689310093984981</v>
      </c>
      <c r="F843" s="357">
        <f t="shared" ca="1" si="387"/>
        <v>5.6419791623958977</v>
      </c>
      <c r="G843" s="359">
        <f t="shared" ca="1" si="388"/>
        <v>28.513991807820126</v>
      </c>
      <c r="H843" s="360">
        <f t="shared" ca="1" si="389"/>
        <v>-134.61233334092438</v>
      </c>
      <c r="I843" s="357">
        <f t="shared" ca="1" si="390"/>
        <v>137.59915703340837</v>
      </c>
      <c r="J843" s="359">
        <f t="shared" ca="1" si="391"/>
        <v>1532.7223645088493</v>
      </c>
      <c r="K843" s="360">
        <f t="shared" ca="1" si="392"/>
        <v>1288.861421778159</v>
      </c>
      <c r="L843" s="357">
        <f t="shared" ca="1" si="377"/>
        <v>2002.5987144741741</v>
      </c>
      <c r="M843" s="359">
        <f t="shared" ca="1" si="393"/>
        <v>-1.3620587479168331</v>
      </c>
      <c r="N843" s="357">
        <f t="shared" ca="1" si="394"/>
        <v>-78.040217704507853</v>
      </c>
      <c r="O843" s="343"/>
      <c r="P843" s="363">
        <f t="shared" ca="1" si="395"/>
        <v>23</v>
      </c>
      <c r="Q843" s="357">
        <f t="shared" ca="1" si="396"/>
        <v>0</v>
      </c>
      <c r="R843" s="359">
        <f t="shared" ca="1" si="397"/>
        <v>0</v>
      </c>
      <c r="S843" s="360">
        <f t="shared" ca="1" si="398"/>
        <v>10.637999999999975</v>
      </c>
      <c r="T843" s="357">
        <f t="shared" ca="1" si="378"/>
        <v>104.35877999999975</v>
      </c>
      <c r="U843" s="364">
        <f t="shared" ca="1" si="379"/>
        <v>0</v>
      </c>
      <c r="V843" s="359">
        <f t="shared" ca="1" si="380"/>
        <v>1.0766731157765819</v>
      </c>
      <c r="W843" s="357">
        <f t="shared" ca="1" si="381"/>
        <v>46.549557645700332</v>
      </c>
      <c r="X843" s="343"/>
      <c r="Y843" s="367" t="str">
        <f t="shared" ca="1" si="399"/>
        <v/>
      </c>
      <c r="Z843" s="368" t="str">
        <f t="shared" ca="1" si="400"/>
        <v/>
      </c>
      <c r="AA843" s="369" t="str">
        <f t="shared" ca="1" si="401"/>
        <v/>
      </c>
      <c r="AB843" s="344"/>
      <c r="AC843" s="363" t="e">
        <f t="shared" ca="1" si="402"/>
        <v>#N/A</v>
      </c>
      <c r="AD843" s="376" t="e">
        <f t="shared" ca="1" si="403"/>
        <v>#N/A</v>
      </c>
      <c r="AE843" s="377" t="e">
        <f t="shared" ca="1" si="382"/>
        <v>#N/A</v>
      </c>
      <c r="AF843" s="344"/>
      <c r="AG843" s="359">
        <f t="shared" ca="1" si="404"/>
        <v>5.2574795144312567</v>
      </c>
      <c r="AH843" s="357">
        <f t="shared" ca="1" si="405"/>
        <v>-4.3365426856553579</v>
      </c>
    </row>
    <row r="844" spans="1:34" x14ac:dyDescent="0.25">
      <c r="A844" s="402">
        <f t="shared" ca="1" si="383"/>
        <v>0.1</v>
      </c>
      <c r="B844" s="357">
        <f t="shared" ca="1" si="384"/>
        <v>39.00000000000022</v>
      </c>
      <c r="C844" s="342"/>
      <c r="D844" s="359">
        <f t="shared" ca="1" si="385"/>
        <v>-0.90677141184601628</v>
      </c>
      <c r="E844" s="360">
        <f t="shared" ca="1" si="386"/>
        <v>-5.5292028258225097</v>
      </c>
      <c r="F844" s="357">
        <f t="shared" ca="1" si="387"/>
        <v>5.6030632945224568</v>
      </c>
      <c r="G844" s="359">
        <f t="shared" ca="1" si="388"/>
        <v>28.423314666635523</v>
      </c>
      <c r="H844" s="360">
        <f t="shared" ca="1" si="389"/>
        <v>-135.16525362350663</v>
      </c>
      <c r="I844" s="357">
        <f t="shared" ca="1" si="390"/>
        <v>138.12143426617553</v>
      </c>
      <c r="J844" s="359">
        <f t="shared" ca="1" si="391"/>
        <v>1535.5692298325721</v>
      </c>
      <c r="K844" s="360">
        <f t="shared" ca="1" si="392"/>
        <v>1275.3725424299373</v>
      </c>
      <c r="L844" s="357">
        <f t="shared" ca="1" si="377"/>
        <v>1996.1332574737592</v>
      </c>
      <c r="M844" s="359">
        <f t="shared" ca="1" si="393"/>
        <v>-1.3635305531131456</v>
      </c>
      <c r="N844" s="357">
        <f t="shared" ca="1" si="394"/>
        <v>-78.124545930521975</v>
      </c>
      <c r="O844" s="343"/>
      <c r="P844" s="363">
        <f t="shared" ca="1" si="395"/>
        <v>23</v>
      </c>
      <c r="Q844" s="357">
        <f t="shared" ca="1" si="396"/>
        <v>0</v>
      </c>
      <c r="R844" s="359">
        <f t="shared" ca="1" si="397"/>
        <v>0</v>
      </c>
      <c r="S844" s="360">
        <f t="shared" ca="1" si="398"/>
        <v>10.637999999999975</v>
      </c>
      <c r="T844" s="357">
        <f t="shared" ca="1" si="378"/>
        <v>104.35877999999975</v>
      </c>
      <c r="U844" s="364">
        <f t="shared" ca="1" si="379"/>
        <v>0</v>
      </c>
      <c r="V844" s="359">
        <f t="shared" ca="1" si="380"/>
        <v>1.0781324082470582</v>
      </c>
      <c r="W844" s="357">
        <f t="shared" ca="1" si="381"/>
        <v>46.967171075614011</v>
      </c>
      <c r="X844" s="343"/>
      <c r="Y844" s="367" t="str">
        <f t="shared" ca="1" si="399"/>
        <v/>
      </c>
      <c r="Z844" s="368" t="str">
        <f t="shared" ca="1" si="400"/>
        <v/>
      </c>
      <c r="AA844" s="369" t="str">
        <f t="shared" ca="1" si="401"/>
        <v/>
      </c>
      <c r="AB844" s="344"/>
      <c r="AC844" s="363">
        <f t="shared" ca="1" si="402"/>
        <v>39.00000000000022</v>
      </c>
      <c r="AD844" s="376">
        <f t="shared" ca="1" si="403"/>
        <v>1535.5692298325721</v>
      </c>
      <c r="AE844" s="377" t="e">
        <f t="shared" ca="1" si="382"/>
        <v>#N/A</v>
      </c>
      <c r="AF844" s="344"/>
      <c r="AG844" s="359">
        <f t="shared" ca="1" si="404"/>
        <v>5.2212763274111014</v>
      </c>
      <c r="AH844" s="357">
        <f t="shared" ca="1" si="405"/>
        <v>-4.3757809405621773</v>
      </c>
    </row>
    <row r="845" spans="1:34" x14ac:dyDescent="0.25">
      <c r="A845" s="402">
        <f t="shared" ca="1" si="383"/>
        <v>0.1</v>
      </c>
      <c r="B845" s="357">
        <f t="shared" ca="1" si="384"/>
        <v>39.100000000000222</v>
      </c>
      <c r="C845" s="342"/>
      <c r="D845" s="359">
        <f t="shared" ca="1" si="385"/>
        <v>-0.90854838382155834</v>
      </c>
      <c r="E845" s="360">
        <f t="shared" ca="1" si="386"/>
        <v>-5.4894563136360492</v>
      </c>
      <c r="F845" s="357">
        <f t="shared" ca="1" si="387"/>
        <v>5.564134324858041</v>
      </c>
      <c r="G845" s="359">
        <f t="shared" ca="1" si="388"/>
        <v>28.332459828253366</v>
      </c>
      <c r="H845" s="360">
        <f t="shared" ca="1" si="389"/>
        <v>-135.71419925487024</v>
      </c>
      <c r="I845" s="357">
        <f t="shared" ca="1" si="390"/>
        <v>138.64008135928876</v>
      </c>
      <c r="J845" s="359">
        <f t="shared" ca="1" si="391"/>
        <v>1538.4070185573166</v>
      </c>
      <c r="K845" s="360">
        <f t="shared" ca="1" si="392"/>
        <v>1261.8285697860185</v>
      </c>
      <c r="L845" s="357">
        <f t="shared" ca="1" si="377"/>
        <v>1989.7003528859921</v>
      </c>
      <c r="M845" s="359">
        <f t="shared" ca="1" si="393"/>
        <v>-1.364986662494299</v>
      </c>
      <c r="N845" s="357">
        <f t="shared" ca="1" si="394"/>
        <v>-78.207974852571468</v>
      </c>
      <c r="O845" s="343"/>
      <c r="P845" s="363">
        <f t="shared" ca="1" si="395"/>
        <v>23</v>
      </c>
      <c r="Q845" s="357">
        <f t="shared" ca="1" si="396"/>
        <v>0</v>
      </c>
      <c r="R845" s="359">
        <f t="shared" ca="1" si="397"/>
        <v>0</v>
      </c>
      <c r="S845" s="360">
        <f t="shared" ca="1" si="398"/>
        <v>10.637999999999975</v>
      </c>
      <c r="T845" s="357">
        <f t="shared" ca="1" si="378"/>
        <v>104.35877999999975</v>
      </c>
      <c r="U845" s="364">
        <f t="shared" ca="1" si="379"/>
        <v>0</v>
      </c>
      <c r="V845" s="359">
        <f t="shared" ca="1" si="380"/>
        <v>1.07959952393893</v>
      </c>
      <c r="W845" s="357">
        <f t="shared" ca="1" si="381"/>
        <v>47.3849510369634</v>
      </c>
      <c r="X845" s="343"/>
      <c r="Y845" s="367" t="str">
        <f t="shared" ca="1" si="399"/>
        <v/>
      </c>
      <c r="Z845" s="368" t="str">
        <f t="shared" ca="1" si="400"/>
        <v/>
      </c>
      <c r="AA845" s="369" t="str">
        <f t="shared" ca="1" si="401"/>
        <v/>
      </c>
      <c r="AB845" s="344"/>
      <c r="AC845" s="363" t="e">
        <f t="shared" ca="1" si="402"/>
        <v>#N/A</v>
      </c>
      <c r="AD845" s="376" t="e">
        <f t="shared" ca="1" si="403"/>
        <v>#N/A</v>
      </c>
      <c r="AE845" s="377" t="e">
        <f t="shared" ca="1" si="382"/>
        <v>#N/A</v>
      </c>
      <c r="AF845" s="344"/>
      <c r="AG845" s="359">
        <f t="shared" ca="1" si="404"/>
        <v>5.1850011700894489</v>
      </c>
      <c r="AH845" s="357">
        <f t="shared" ca="1" si="405"/>
        <v>-4.4150377021633878</v>
      </c>
    </row>
    <row r="846" spans="1:34" x14ac:dyDescent="0.25">
      <c r="A846" s="402">
        <f t="shared" ca="1" si="383"/>
        <v>0.1</v>
      </c>
      <c r="B846" s="357">
        <f t="shared" ca="1" si="384"/>
        <v>39.200000000000223</v>
      </c>
      <c r="C846" s="342"/>
      <c r="D846" s="359">
        <f t="shared" ca="1" si="385"/>
        <v>-0.9102819419027639</v>
      </c>
      <c r="E846" s="360">
        <f t="shared" ca="1" si="386"/>
        <v>-5.449694343859667</v>
      </c>
      <c r="F846" s="357">
        <f t="shared" ca="1" si="387"/>
        <v>5.5251951689737</v>
      </c>
      <c r="G846" s="359">
        <f t="shared" ca="1" si="388"/>
        <v>28.24143163406309</v>
      </c>
      <c r="H846" s="360">
        <f t="shared" ca="1" si="389"/>
        <v>-136.2591686892562</v>
      </c>
      <c r="I846" s="357">
        <f t="shared" ca="1" si="390"/>
        <v>139.1550915799657</v>
      </c>
      <c r="J846" s="359">
        <f t="shared" ca="1" si="391"/>
        <v>1541.2357131304325</v>
      </c>
      <c r="K846" s="360">
        <f t="shared" ca="1" si="392"/>
        <v>1248.2299013888123</v>
      </c>
      <c r="L846" s="357">
        <f t="shared" ca="1" si="377"/>
        <v>1983.301643762188</v>
      </c>
      <c r="M846" s="359">
        <f t="shared" ca="1" si="393"/>
        <v>-1.3664273358798105</v>
      </c>
      <c r="N846" s="357">
        <f t="shared" ca="1" si="394"/>
        <v>-78.290519357218102</v>
      </c>
      <c r="O846" s="343"/>
      <c r="P846" s="363">
        <f t="shared" ca="1" si="395"/>
        <v>23</v>
      </c>
      <c r="Q846" s="357">
        <f t="shared" ca="1" si="396"/>
        <v>0</v>
      </c>
      <c r="R846" s="359">
        <f t="shared" ca="1" si="397"/>
        <v>0</v>
      </c>
      <c r="S846" s="360">
        <f t="shared" ca="1" si="398"/>
        <v>10.637999999999975</v>
      </c>
      <c r="T846" s="357">
        <f t="shared" ca="1" si="378"/>
        <v>104.35877999999975</v>
      </c>
      <c r="U846" s="364">
        <f t="shared" ca="1" si="379"/>
        <v>0</v>
      </c>
      <c r="V846" s="359">
        <f t="shared" ca="1" si="380"/>
        <v>1.0810744460787907</v>
      </c>
      <c r="W846" s="357">
        <f t="shared" ca="1" si="381"/>
        <v>47.802867334534554</v>
      </c>
      <c r="X846" s="343"/>
      <c r="Y846" s="367" t="str">
        <f t="shared" ca="1" si="399"/>
        <v/>
      </c>
      <c r="Z846" s="368" t="str">
        <f t="shared" ca="1" si="400"/>
        <v/>
      </c>
      <c r="AA846" s="369" t="str">
        <f t="shared" ca="1" si="401"/>
        <v/>
      </c>
      <c r="AB846" s="344"/>
      <c r="AC846" s="363" t="e">
        <f t="shared" ca="1" si="402"/>
        <v>#N/A</v>
      </c>
      <c r="AD846" s="376" t="e">
        <f t="shared" ca="1" si="403"/>
        <v>#N/A</v>
      </c>
      <c r="AE846" s="377" t="e">
        <f t="shared" ca="1" si="382"/>
        <v>#N/A</v>
      </c>
      <c r="AF846" s="344"/>
      <c r="AG846" s="359">
        <f t="shared" ca="1" si="404"/>
        <v>5.1486580973615448</v>
      </c>
      <c r="AH846" s="357">
        <f t="shared" ca="1" si="405"/>
        <v>-4.4543101181578786</v>
      </c>
    </row>
    <row r="847" spans="1:34" x14ac:dyDescent="0.25">
      <c r="A847" s="402">
        <f t="shared" ca="1" si="383"/>
        <v>0.1</v>
      </c>
      <c r="B847" s="357">
        <f t="shared" ca="1" si="384"/>
        <v>39.300000000000225</v>
      </c>
      <c r="C847" s="342"/>
      <c r="D847" s="359">
        <f t="shared" ca="1" si="385"/>
        <v>-0.9119721343327204</v>
      </c>
      <c r="E847" s="360">
        <f t="shared" ca="1" si="386"/>
        <v>-5.4099197738239697</v>
      </c>
      <c r="F847" s="357">
        <f t="shared" ca="1" si="387"/>
        <v>5.4862487305089411</v>
      </c>
      <c r="G847" s="359">
        <f t="shared" ca="1" si="388"/>
        <v>28.150234420629818</v>
      </c>
      <c r="H847" s="360">
        <f t="shared" ca="1" si="389"/>
        <v>-136.80016066663859</v>
      </c>
      <c r="I847" s="357">
        <f t="shared" ca="1" si="390"/>
        <v>139.66645859459078</v>
      </c>
      <c r="J847" s="359">
        <f t="shared" ca="1" si="391"/>
        <v>1544.0552964331671</v>
      </c>
      <c r="K847" s="360">
        <f t="shared" ca="1" si="392"/>
        <v>1234.5769349210175</v>
      </c>
      <c r="L847" s="357">
        <f t="shared" ca="1" si="377"/>
        <v>1976.9387867817986</v>
      </c>
      <c r="M847" s="359">
        <f t="shared" ca="1" si="393"/>
        <v>-1.3678528274068038</v>
      </c>
      <c r="N847" s="357">
        <f t="shared" ca="1" si="394"/>
        <v>-78.372194005446474</v>
      </c>
      <c r="O847" s="343"/>
      <c r="P847" s="363">
        <f t="shared" ca="1" si="395"/>
        <v>23</v>
      </c>
      <c r="Q847" s="357">
        <f t="shared" ca="1" si="396"/>
        <v>0</v>
      </c>
      <c r="R847" s="359">
        <f t="shared" ca="1" si="397"/>
        <v>0</v>
      </c>
      <c r="S847" s="360">
        <f t="shared" ca="1" si="398"/>
        <v>10.637999999999975</v>
      </c>
      <c r="T847" s="357">
        <f t="shared" ca="1" si="378"/>
        <v>104.35877999999975</v>
      </c>
      <c r="U847" s="364">
        <f t="shared" ca="1" si="379"/>
        <v>0</v>
      </c>
      <c r="V847" s="359">
        <f t="shared" ca="1" si="380"/>
        <v>1.0825571578455966</v>
      </c>
      <c r="W847" s="357">
        <f t="shared" ca="1" si="381"/>
        <v>48.220889924355603</v>
      </c>
      <c r="X847" s="343"/>
      <c r="Y847" s="367" t="str">
        <f t="shared" ca="1" si="399"/>
        <v/>
      </c>
      <c r="Z847" s="368" t="str">
        <f t="shared" ca="1" si="400"/>
        <v/>
      </c>
      <c r="AA847" s="369" t="str">
        <f t="shared" ca="1" si="401"/>
        <v/>
      </c>
      <c r="AB847" s="344"/>
      <c r="AC847" s="363" t="e">
        <f t="shared" ca="1" si="402"/>
        <v>#N/A</v>
      </c>
      <c r="AD847" s="376" t="e">
        <f t="shared" ca="1" si="403"/>
        <v>#N/A</v>
      </c>
      <c r="AE847" s="377" t="e">
        <f t="shared" ca="1" si="382"/>
        <v>#N/A</v>
      </c>
      <c r="AF847" s="344"/>
      <c r="AG847" s="359">
        <f t="shared" ca="1" si="404"/>
        <v>5.1122511170501461</v>
      </c>
      <c r="AH847" s="357">
        <f t="shared" ca="1" si="405"/>
        <v>-4.4935953501160615</v>
      </c>
    </row>
    <row r="848" spans="1:34" x14ac:dyDescent="0.25">
      <c r="A848" s="402">
        <f t="shared" ca="1" si="383"/>
        <v>0.1</v>
      </c>
      <c r="B848" s="357">
        <f t="shared" ca="1" si="384"/>
        <v>39.400000000000226</v>
      </c>
      <c r="C848" s="342"/>
      <c r="D848" s="359">
        <f t="shared" ca="1" si="385"/>
        <v>-0.91361901447390992</v>
      </c>
      <c r="E848" s="360">
        <f t="shared" ca="1" si="386"/>
        <v>-5.3701354468105871</v>
      </c>
      <c r="F848" s="357">
        <f t="shared" ca="1" si="387"/>
        <v>5.4472979008587208</v>
      </c>
      <c r="G848" s="359">
        <f t="shared" ca="1" si="388"/>
        <v>28.058872519182426</v>
      </c>
      <c r="H848" s="360">
        <f t="shared" ca="1" si="389"/>
        <v>-137.33717421131965</v>
      </c>
      <c r="I848" s="357">
        <f t="shared" ca="1" si="390"/>
        <v>140.17417646413369</v>
      </c>
      <c r="J848" s="359">
        <f t="shared" ca="1" si="391"/>
        <v>1546.8657517801578</v>
      </c>
      <c r="K848" s="360">
        <f t="shared" ca="1" si="392"/>
        <v>1220.8700681771195</v>
      </c>
      <c r="L848" s="357">
        <f t="shared" ca="1" si="377"/>
        <v>1970.6134520501978</v>
      </c>
      <c r="M848" s="359">
        <f t="shared" ca="1" si="393"/>
        <v>-1.36926338568057</v>
      </c>
      <c r="N848" s="357">
        <f t="shared" ca="1" si="394"/>
        <v>-78.453013041290546</v>
      </c>
      <c r="O848" s="343"/>
      <c r="P848" s="363">
        <f t="shared" ca="1" si="395"/>
        <v>23</v>
      </c>
      <c r="Q848" s="357">
        <f t="shared" ca="1" si="396"/>
        <v>0</v>
      </c>
      <c r="R848" s="359">
        <f t="shared" ca="1" si="397"/>
        <v>0</v>
      </c>
      <c r="S848" s="360">
        <f t="shared" ca="1" si="398"/>
        <v>10.637999999999975</v>
      </c>
      <c r="T848" s="357">
        <f t="shared" ca="1" si="378"/>
        <v>104.35877999999975</v>
      </c>
      <c r="U848" s="364">
        <f t="shared" ca="1" si="379"/>
        <v>0</v>
      </c>
      <c r="V848" s="359">
        <f t="shared" ca="1" si="380"/>
        <v>1.0840476423716741</v>
      </c>
      <c r="W848" s="357">
        <f t="shared" ca="1" si="381"/>
        <v>48.638988917328639</v>
      </c>
      <c r="X848" s="343"/>
      <c r="Y848" s="367" t="str">
        <f t="shared" ca="1" si="399"/>
        <v/>
      </c>
      <c r="Z848" s="368" t="str">
        <f t="shared" ca="1" si="400"/>
        <v/>
      </c>
      <c r="AA848" s="369" t="str">
        <f t="shared" ca="1" si="401"/>
        <v/>
      </c>
      <c r="AB848" s="344"/>
      <c r="AC848" s="363" t="e">
        <f t="shared" ca="1" si="402"/>
        <v>#N/A</v>
      </c>
      <c r="AD848" s="376" t="e">
        <f t="shared" ca="1" si="403"/>
        <v>#N/A</v>
      </c>
      <c r="AE848" s="377" t="e">
        <f t="shared" ca="1" si="382"/>
        <v>#N/A</v>
      </c>
      <c r="AF848" s="344"/>
      <c r="AG848" s="359">
        <f t="shared" ca="1" si="404"/>
        <v>5.0757841906372345</v>
      </c>
      <c r="AH848" s="357">
        <f t="shared" ca="1" si="405"/>
        <v>-4.5328905738255045</v>
      </c>
    </row>
    <row r="849" spans="1:34" x14ac:dyDescent="0.25">
      <c r="A849" s="402">
        <f t="shared" ca="1" si="383"/>
        <v>0.1</v>
      </c>
      <c r="B849" s="357">
        <f t="shared" ca="1" si="384"/>
        <v>39.500000000000227</v>
      </c>
      <c r="C849" s="342"/>
      <c r="D849" s="359">
        <f t="shared" ca="1" si="385"/>
        <v>-0.91522264075102444</v>
      </c>
      <c r="E849" s="360">
        <f t="shared" ca="1" si="386"/>
        <v>-5.3303441916977699</v>
      </c>
      <c r="F849" s="357">
        <f t="shared" ca="1" si="387"/>
        <v>5.4083455588663556</v>
      </c>
      <c r="G849" s="359">
        <f t="shared" ca="1" si="388"/>
        <v>27.967350255107323</v>
      </c>
      <c r="H849" s="360">
        <f t="shared" ca="1" si="389"/>
        <v>-137.87020863048943</v>
      </c>
      <c r="I849" s="357">
        <f t="shared" ca="1" si="390"/>
        <v>140.67823963963485</v>
      </c>
      <c r="J849" s="359">
        <f t="shared" ca="1" si="391"/>
        <v>1549.6670629188723</v>
      </c>
      <c r="K849" s="360">
        <f t="shared" ca="1" si="392"/>
        <v>1207.1096990350291</v>
      </c>
      <c r="L849" s="357">
        <f t="shared" ca="1" si="377"/>
        <v>1964.3273228767252</v>
      </c>
      <c r="M849" s="359">
        <f t="shared" ca="1" si="393"/>
        <v>-1.3706592539204749</v>
      </c>
      <c r="N849" s="357">
        <f t="shared" ca="1" si="394"/>
        <v>-78.532990400193455</v>
      </c>
      <c r="O849" s="343"/>
      <c r="P849" s="363">
        <f t="shared" ca="1" si="395"/>
        <v>23</v>
      </c>
      <c r="Q849" s="357">
        <f t="shared" ca="1" si="396"/>
        <v>0</v>
      </c>
      <c r="R849" s="359">
        <f t="shared" ca="1" si="397"/>
        <v>0</v>
      </c>
      <c r="S849" s="360">
        <f t="shared" ca="1" si="398"/>
        <v>10.637999999999975</v>
      </c>
      <c r="T849" s="357">
        <f t="shared" ca="1" si="378"/>
        <v>104.35877999999975</v>
      </c>
      <c r="U849" s="364">
        <f t="shared" ca="1" si="379"/>
        <v>0</v>
      </c>
      <c r="V849" s="359">
        <f t="shared" ca="1" si="380"/>
        <v>1.0855458827437294</v>
      </c>
      <c r="W849" s="357">
        <f t="shared" ca="1" si="381"/>
        <v>49.057134582814761</v>
      </c>
      <c r="X849" s="343"/>
      <c r="Y849" s="367" t="str">
        <f t="shared" ca="1" si="399"/>
        <v/>
      </c>
      <c r="Z849" s="368" t="str">
        <f t="shared" ca="1" si="400"/>
        <v/>
      </c>
      <c r="AA849" s="369" t="str">
        <f t="shared" ca="1" si="401"/>
        <v/>
      </c>
      <c r="AB849" s="344"/>
      <c r="AC849" s="363" t="e">
        <f t="shared" ca="1" si="402"/>
        <v>#N/A</v>
      </c>
      <c r="AD849" s="376" t="e">
        <f t="shared" ca="1" si="403"/>
        <v>#N/A</v>
      </c>
      <c r="AE849" s="377" t="e">
        <f t="shared" ca="1" si="382"/>
        <v>#N/A</v>
      </c>
      <c r="AF849" s="344"/>
      <c r="AG849" s="359">
        <f t="shared" ca="1" si="404"/>
        <v>5.0392612339600911</v>
      </c>
      <c r="AH849" s="357">
        <f t="shared" ca="1" si="405"/>
        <v>-4.5721929796323328</v>
      </c>
    </row>
    <row r="850" spans="1:34" x14ac:dyDescent="0.25">
      <c r="A850" s="402">
        <f t="shared" ca="1" si="383"/>
        <v>0.1</v>
      </c>
      <c r="B850" s="357">
        <f t="shared" ca="1" si="384"/>
        <v>39.600000000000229</v>
      </c>
      <c r="C850" s="342"/>
      <c r="D850" s="359">
        <f t="shared" ca="1" si="385"/>
        <v>-0.91678307659388847</v>
      </c>
      <c r="E850" s="360">
        <f t="shared" ca="1" si="386"/>
        <v>-5.2905488226107851</v>
      </c>
      <c r="F850" s="357">
        <f t="shared" ca="1" si="387"/>
        <v>5.3693945705225765</v>
      </c>
      <c r="G850" s="359">
        <f t="shared" ca="1" si="388"/>
        <v>27.875671947447934</v>
      </c>
      <c r="H850" s="360">
        <f t="shared" ca="1" si="389"/>
        <v>-138.39926351275051</v>
      </c>
      <c r="I850" s="357">
        <f t="shared" ca="1" si="390"/>
        <v>141.17864295775581</v>
      </c>
      <c r="J850" s="359">
        <f t="shared" ca="1" si="391"/>
        <v>1552.4592140290001</v>
      </c>
      <c r="K850" s="360">
        <f t="shared" ca="1" si="392"/>
        <v>1193.2962254278671</v>
      </c>
      <c r="L850" s="357">
        <f t="shared" ca="1" si="377"/>
        <v>1958.082095532242</v>
      </c>
      <c r="M850" s="359">
        <f t="shared" ca="1" si="393"/>
        <v>-1.3720406701013779</v>
      </c>
      <c r="N850" s="357">
        <f t="shared" ca="1" si="394"/>
        <v>-78.612139717110267</v>
      </c>
      <c r="O850" s="343"/>
      <c r="P850" s="363">
        <f t="shared" ca="1" si="395"/>
        <v>23</v>
      </c>
      <c r="Q850" s="357">
        <f t="shared" ca="1" si="396"/>
        <v>0</v>
      </c>
      <c r="R850" s="359">
        <f t="shared" ca="1" si="397"/>
        <v>0</v>
      </c>
      <c r="S850" s="360">
        <f t="shared" ca="1" si="398"/>
        <v>10.637999999999975</v>
      </c>
      <c r="T850" s="357">
        <f t="shared" ca="1" si="378"/>
        <v>104.35877999999975</v>
      </c>
      <c r="U850" s="364">
        <f t="shared" ca="1" si="379"/>
        <v>0</v>
      </c>
      <c r="V850" s="359">
        <f t="shared" ca="1" si="380"/>
        <v>1.0870518620038656</v>
      </c>
      <c r="W850" s="357">
        <f t="shared" ca="1" si="381"/>
        <v>49.475297352172973</v>
      </c>
      <c r="X850" s="343"/>
      <c r="Y850" s="367" t="str">
        <f t="shared" ca="1" si="399"/>
        <v/>
      </c>
      <c r="Z850" s="368" t="str">
        <f t="shared" ca="1" si="400"/>
        <v/>
      </c>
      <c r="AA850" s="369" t="str">
        <f t="shared" ca="1" si="401"/>
        <v/>
      </c>
      <c r="AB850" s="344"/>
      <c r="AC850" s="363" t="e">
        <f t="shared" ca="1" si="402"/>
        <v>#N/A</v>
      </c>
      <c r="AD850" s="376" t="e">
        <f t="shared" ca="1" si="403"/>
        <v>#N/A</v>
      </c>
      <c r="AE850" s="377" t="e">
        <f t="shared" ca="1" si="382"/>
        <v>#N/A</v>
      </c>
      <c r="AF850" s="344"/>
      <c r="AG850" s="359">
        <f t="shared" ca="1" si="404"/>
        <v>5.0026861178735</v>
      </c>
      <c r="AH850" s="357">
        <f t="shared" ca="1" si="405"/>
        <v>-4.6114997727782363</v>
      </c>
    </row>
    <row r="851" spans="1:34" x14ac:dyDescent="0.25">
      <c r="A851" s="402">
        <f t="shared" ca="1" si="383"/>
        <v>0.1</v>
      </c>
      <c r="B851" s="357">
        <f t="shared" ca="1" si="384"/>
        <v>39.70000000000023</v>
      </c>
      <c r="C851" s="342"/>
      <c r="D851" s="359">
        <f t="shared" ca="1" si="385"/>
        <v>-0.91830039038048494</v>
      </c>
      <c r="E851" s="360">
        <f t="shared" ca="1" si="386"/>
        <v>-5.2507521385770239</v>
      </c>
      <c r="F851" s="357">
        <f t="shared" ca="1" si="387"/>
        <v>5.3304477886706803</v>
      </c>
      <c r="G851" s="359">
        <f t="shared" ca="1" si="388"/>
        <v>27.783841908409887</v>
      </c>
      <c r="H851" s="360">
        <f t="shared" ca="1" si="389"/>
        <v>-138.9243387266082</v>
      </c>
      <c r="I851" s="357">
        <f t="shared" ca="1" si="390"/>
        <v>141.67538163639045</v>
      </c>
      <c r="J851" s="359">
        <f t="shared" ca="1" si="391"/>
        <v>1555.242189721793</v>
      </c>
      <c r="K851" s="360">
        <f t="shared" ca="1" si="392"/>
        <v>1179.4300453158992</v>
      </c>
      <c r="L851" s="357">
        <f t="shared" ca="1" si="377"/>
        <v>1951.8794789854476</v>
      </c>
      <c r="M851" s="359">
        <f t="shared" ca="1" si="393"/>
        <v>-1.3734078670907184</v>
      </c>
      <c r="N851" s="357">
        <f t="shared" ca="1" si="394"/>
        <v>-78.690474334362477</v>
      </c>
      <c r="O851" s="343"/>
      <c r="P851" s="363">
        <f t="shared" ca="1" si="395"/>
        <v>23</v>
      </c>
      <c r="Q851" s="357">
        <f t="shared" ca="1" si="396"/>
        <v>0</v>
      </c>
      <c r="R851" s="359">
        <f t="shared" ca="1" si="397"/>
        <v>0</v>
      </c>
      <c r="S851" s="360">
        <f t="shared" ca="1" si="398"/>
        <v>10.637999999999975</v>
      </c>
      <c r="T851" s="357">
        <f t="shared" ca="1" si="378"/>
        <v>104.35877999999975</v>
      </c>
      <c r="U851" s="364">
        <f t="shared" ca="1" si="379"/>
        <v>0</v>
      </c>
      <c r="V851" s="359">
        <f t="shared" ca="1" si="380"/>
        <v>1.0885655631505995</v>
      </c>
      <c r="W851" s="357">
        <f t="shared" ca="1" si="381"/>
        <v>49.893447822250835</v>
      </c>
      <c r="X851" s="343"/>
      <c r="Y851" s="367" t="str">
        <f t="shared" ca="1" si="399"/>
        <v/>
      </c>
      <c r="Z851" s="368" t="str">
        <f t="shared" ca="1" si="400"/>
        <v/>
      </c>
      <c r="AA851" s="369" t="str">
        <f t="shared" ca="1" si="401"/>
        <v/>
      </c>
      <c r="AB851" s="344"/>
      <c r="AC851" s="363" t="e">
        <f t="shared" ca="1" si="402"/>
        <v>#N/A</v>
      </c>
      <c r="AD851" s="376" t="e">
        <f t="shared" ca="1" si="403"/>
        <v>#N/A</v>
      </c>
      <c r="AE851" s="377" t="e">
        <f t="shared" ca="1" si="382"/>
        <v>#N/A</v>
      </c>
      <c r="AF851" s="344"/>
      <c r="AG851" s="359">
        <f t="shared" ca="1" si="404"/>
        <v>4.9660626688796485</v>
      </c>
      <c r="AH851" s="357">
        <f t="shared" ca="1" si="405"/>
        <v>-4.650808173733135</v>
      </c>
    </row>
    <row r="852" spans="1:34" x14ac:dyDescent="0.25">
      <c r="A852" s="402">
        <f t="shared" ca="1" si="383"/>
        <v>0.1</v>
      </c>
      <c r="B852" s="357">
        <f t="shared" ca="1" si="384"/>
        <v>39.800000000000232</v>
      </c>
      <c r="C852" s="342"/>
      <c r="D852" s="359">
        <f t="shared" ca="1" si="385"/>
        <v>-0.91977465538004421</v>
      </c>
      <c r="E852" s="360">
        <f t="shared" ca="1" si="386"/>
        <v>-5.2109569231860222</v>
      </c>
      <c r="F852" s="357">
        <f t="shared" ca="1" si="387"/>
        <v>5.2915080527180356</v>
      </c>
      <c r="G852" s="359">
        <f t="shared" ca="1" si="388"/>
        <v>27.691864442871882</v>
      </c>
      <c r="H852" s="360">
        <f t="shared" ca="1" si="389"/>
        <v>-139.44543441892679</v>
      </c>
      <c r="I852" s="357">
        <f t="shared" ca="1" si="390"/>
        <v>142.16845127033497</v>
      </c>
      <c r="J852" s="359">
        <f t="shared" ca="1" si="391"/>
        <v>1558.015975039357</v>
      </c>
      <c r="K852" s="360">
        <f t="shared" ca="1" si="392"/>
        <v>1165.5115566586223</v>
      </c>
      <c r="L852" s="357">
        <f t="shared" ca="1" si="377"/>
        <v>1945.7211946172154</v>
      </c>
      <c r="M852" s="359">
        <f t="shared" ca="1" si="393"/>
        <v>-1.3747610727814206</v>
      </c>
      <c r="N852" s="357">
        <f t="shared" ca="1" si="394"/>
        <v>-78.768007309252795</v>
      </c>
      <c r="O852" s="343"/>
      <c r="P852" s="363">
        <f t="shared" ca="1" si="395"/>
        <v>23</v>
      </c>
      <c r="Q852" s="357">
        <f t="shared" ca="1" si="396"/>
        <v>0</v>
      </c>
      <c r="R852" s="359">
        <f t="shared" ca="1" si="397"/>
        <v>0</v>
      </c>
      <c r="S852" s="360">
        <f t="shared" ca="1" si="398"/>
        <v>10.637999999999975</v>
      </c>
      <c r="T852" s="357">
        <f t="shared" ca="1" si="378"/>
        <v>104.35877999999975</v>
      </c>
      <c r="U852" s="364">
        <f t="shared" ca="1" si="379"/>
        <v>0</v>
      </c>
      <c r="V852" s="359">
        <f t="shared" ca="1" si="380"/>
        <v>1.0900869691398842</v>
      </c>
      <c r="W852" s="357">
        <f t="shared" ca="1" si="381"/>
        <v>50.311556758827223</v>
      </c>
      <c r="X852" s="343"/>
      <c r="Y852" s="367" t="str">
        <f t="shared" ca="1" si="399"/>
        <v/>
      </c>
      <c r="Z852" s="368" t="str">
        <f t="shared" ca="1" si="400"/>
        <v/>
      </c>
      <c r="AA852" s="369" t="str">
        <f t="shared" ca="1" si="401"/>
        <v/>
      </c>
      <c r="AB852" s="344"/>
      <c r="AC852" s="363" t="e">
        <f t="shared" ca="1" si="402"/>
        <v>#N/A</v>
      </c>
      <c r="AD852" s="376" t="e">
        <f t="shared" ca="1" si="403"/>
        <v>#N/A</v>
      </c>
      <c r="AE852" s="377" t="e">
        <f t="shared" ca="1" si="382"/>
        <v>#N/A</v>
      </c>
      <c r="AF852" s="344"/>
      <c r="AG852" s="359">
        <f t="shared" ca="1" si="404"/>
        <v>4.9293946697273947</v>
      </c>
      <c r="AH852" s="357">
        <f t="shared" ca="1" si="405"/>
        <v>-4.690115418523308</v>
      </c>
    </row>
    <row r="853" spans="1:34" x14ac:dyDescent="0.25">
      <c r="A853" s="402">
        <f t="shared" ca="1" si="383"/>
        <v>0.1</v>
      </c>
      <c r="B853" s="357">
        <f t="shared" ca="1" si="384"/>
        <v>39.900000000000233</v>
      </c>
      <c r="C853" s="342"/>
      <c r="D853" s="359">
        <f t="shared" ca="1" si="385"/>
        <v>-0.92120594969620118</v>
      </c>
      <c r="E853" s="360">
        <f t="shared" ca="1" si="386"/>
        <v>-5.1711659442543247</v>
      </c>
      <c r="F853" s="357">
        <f t="shared" ca="1" si="387"/>
        <v>5.2525781883539251</v>
      </c>
      <c r="G853" s="359">
        <f t="shared" ca="1" si="388"/>
        <v>27.599743847902261</v>
      </c>
      <c r="H853" s="360">
        <f t="shared" ca="1" si="389"/>
        <v>-139.96255101335223</v>
      </c>
      <c r="I853" s="357">
        <f t="shared" ca="1" si="390"/>
        <v>142.65784782701246</v>
      </c>
      <c r="J853" s="359">
        <f t="shared" ca="1" si="391"/>
        <v>1560.7805554538957</v>
      </c>
      <c r="K853" s="360">
        <f t="shared" ca="1" si="392"/>
        <v>1151.5411573870083</v>
      </c>
      <c r="L853" s="357">
        <f t="shared" ca="1" si="377"/>
        <v>1939.6089759122021</v>
      </c>
      <c r="M853" s="359">
        <f t="shared" ca="1" si="393"/>
        <v>-1.3761005102207569</v>
      </c>
      <c r="N853" s="357">
        <f t="shared" ca="1" si="394"/>
        <v>-78.844751421448578</v>
      </c>
      <c r="O853" s="343"/>
      <c r="P853" s="363">
        <f t="shared" ca="1" si="395"/>
        <v>23</v>
      </c>
      <c r="Q853" s="357">
        <f t="shared" ca="1" si="396"/>
        <v>0</v>
      </c>
      <c r="R853" s="359">
        <f t="shared" ca="1" si="397"/>
        <v>0</v>
      </c>
      <c r="S853" s="360">
        <f t="shared" ca="1" si="398"/>
        <v>10.637999999999975</v>
      </c>
      <c r="T853" s="357">
        <f t="shared" ca="1" si="378"/>
        <v>104.35877999999975</v>
      </c>
      <c r="U853" s="364">
        <f t="shared" ca="1" si="379"/>
        <v>0</v>
      </c>
      <c r="V853" s="359">
        <f t="shared" ca="1" si="380"/>
        <v>1.0916160628861382</v>
      </c>
      <c r="W853" s="357">
        <f t="shared" ca="1" si="381"/>
        <v>50.729595100005596</v>
      </c>
      <c r="X853" s="343"/>
      <c r="Y853" s="367" t="str">
        <f t="shared" ca="1" si="399"/>
        <v/>
      </c>
      <c r="Z853" s="368" t="str">
        <f t="shared" ca="1" si="400"/>
        <v/>
      </c>
      <c r="AA853" s="369" t="str">
        <f t="shared" ca="1" si="401"/>
        <v/>
      </c>
      <c r="AB853" s="344"/>
      <c r="AC853" s="363" t="e">
        <f t="shared" ca="1" si="402"/>
        <v>#N/A</v>
      </c>
      <c r="AD853" s="376" t="e">
        <f t="shared" ca="1" si="403"/>
        <v>#N/A</v>
      </c>
      <c r="AE853" s="377" t="e">
        <f t="shared" ca="1" si="382"/>
        <v>#N/A</v>
      </c>
      <c r="AF853" s="344"/>
      <c r="AG853" s="359">
        <f t="shared" ca="1" si="404"/>
        <v>4.8926858599822944</v>
      </c>
      <c r="AH853" s="357">
        <f t="shared" ca="1" si="405"/>
        <v>-4.7294187590550232</v>
      </c>
    </row>
    <row r="854" spans="1:34" x14ac:dyDescent="0.25">
      <c r="A854" s="402">
        <f t="shared" ca="1" si="383"/>
        <v>0.1</v>
      </c>
      <c r="B854" s="357">
        <f t="shared" ca="1" si="384"/>
        <v>40.000000000000234</v>
      </c>
      <c r="C854" s="342"/>
      <c r="D854" s="359">
        <f t="shared" ca="1" si="385"/>
        <v>-0.92259435621020192</v>
      </c>
      <c r="E854" s="360">
        <f t="shared" ca="1" si="386"/>
        <v>-5.1313819534953504</v>
      </c>
      <c r="F854" s="357">
        <f t="shared" ca="1" si="387"/>
        <v>5.2136610072739362</v>
      </c>
      <c r="G854" s="359">
        <f t="shared" ca="1" si="388"/>
        <v>27.50748441228124</v>
      </c>
      <c r="H854" s="360">
        <f t="shared" ca="1" si="389"/>
        <v>-140.47568920870177</v>
      </c>
      <c r="I854" s="357">
        <f t="shared" ca="1" si="390"/>
        <v>143.14356764225093</v>
      </c>
      <c r="J854" s="359">
        <f t="shared" ca="1" si="391"/>
        <v>1563.5359168669049</v>
      </c>
      <c r="K854" s="360">
        <f t="shared" ca="1" si="392"/>
        <v>1137.5192453759055</v>
      </c>
      <c r="L854" s="357">
        <f t="shared" ca="1" si="377"/>
        <v>1933.5445681269937</v>
      </c>
      <c r="M854" s="359">
        <f t="shared" ca="1" si="393"/>
        <v>-1.3774263977353163</v>
      </c>
      <c r="N854" s="357">
        <f t="shared" ca="1" si="394"/>
        <v>-78.920719180141916</v>
      </c>
      <c r="O854" s="343"/>
      <c r="P854" s="363">
        <f t="shared" ca="1" si="395"/>
        <v>23</v>
      </c>
      <c r="Q854" s="357">
        <f t="shared" ca="1" si="396"/>
        <v>0</v>
      </c>
      <c r="R854" s="359">
        <f t="shared" ca="1" si="397"/>
        <v>0</v>
      </c>
      <c r="S854" s="360">
        <f t="shared" ca="1" si="398"/>
        <v>10.637999999999975</v>
      </c>
      <c r="T854" s="357">
        <f t="shared" ca="1" si="378"/>
        <v>104.35877999999975</v>
      </c>
      <c r="U854" s="364">
        <f t="shared" ca="1" si="379"/>
        <v>0</v>
      </c>
      <c r="V854" s="359">
        <f t="shared" ca="1" si="380"/>
        <v>1.0931528272632731</v>
      </c>
      <c r="W854" s="357">
        <f t="shared" ca="1" si="381"/>
        <v>51.147533959557705</v>
      </c>
      <c r="X854" s="343"/>
      <c r="Y854" s="367" t="str">
        <f t="shared" ca="1" si="399"/>
        <v/>
      </c>
      <c r="Z854" s="368" t="str">
        <f t="shared" ca="1" si="400"/>
        <v/>
      </c>
      <c r="AA854" s="369" t="str">
        <f t="shared" ca="1" si="401"/>
        <v/>
      </c>
      <c r="AB854" s="344"/>
      <c r="AC854" s="363">
        <f t="shared" ca="1" si="402"/>
        <v>40.000000000000234</v>
      </c>
      <c r="AD854" s="376">
        <f t="shared" ca="1" si="403"/>
        <v>1563.5359168669049</v>
      </c>
      <c r="AE854" s="377" t="e">
        <f t="shared" ca="1" si="382"/>
        <v>#N/A</v>
      </c>
      <c r="AF854" s="344"/>
      <c r="AG854" s="359">
        <f t="shared" ca="1" si="404"/>
        <v>4.8559399365689506</v>
      </c>
      <c r="AH854" s="357">
        <f t="shared" ca="1" si="405"/>
        <v>-4.7687154634335132</v>
      </c>
    </row>
    <row r="855" spans="1:34" x14ac:dyDescent="0.25">
      <c r="A855" s="402">
        <f t="shared" ca="1" si="383"/>
        <v>0.1</v>
      </c>
      <c r="B855" s="357">
        <f t="shared" ca="1" si="384"/>
        <v>40.100000000000236</v>
      </c>
      <c r="C855" s="342"/>
      <c r="D855" s="359">
        <f t="shared" ca="1" si="385"/>
        <v>-0.92393996252413235</v>
      </c>
      <c r="E855" s="360">
        <f t="shared" ca="1" si="386"/>
        <v>-5.0916076861942408</v>
      </c>
      <c r="F855" s="357">
        <f t="shared" ca="1" si="387"/>
        <v>5.1747593069109374</v>
      </c>
      <c r="G855" s="359">
        <f t="shared" ca="1" si="388"/>
        <v>27.415090416028828</v>
      </c>
      <c r="H855" s="360">
        <f t="shared" ca="1" si="389"/>
        <v>-140.9848499773212</v>
      </c>
      <c r="I855" s="357">
        <f t="shared" ca="1" si="390"/>
        <v>143.62560741611088</v>
      </c>
      <c r="J855" s="359">
        <f t="shared" ca="1" si="391"/>
        <v>1566.2820456083205</v>
      </c>
      <c r="K855" s="360">
        <f t="shared" ca="1" si="392"/>
        <v>1123.4462184166043</v>
      </c>
      <c r="L855" s="357">
        <f t="shared" ca="1" si="377"/>
        <v>1927.5297279340607</v>
      </c>
      <c r="M855" s="359">
        <f t="shared" ca="1" si="393"/>
        <v>-1.3787389490522044</v>
      </c>
      <c r="N855" s="357">
        <f t="shared" ca="1" si="394"/>
        <v>-78.995922830993948</v>
      </c>
      <c r="O855" s="343"/>
      <c r="P855" s="363">
        <f t="shared" ca="1" si="395"/>
        <v>23</v>
      </c>
      <c r="Q855" s="357">
        <f t="shared" ca="1" si="396"/>
        <v>0</v>
      </c>
      <c r="R855" s="359">
        <f t="shared" ca="1" si="397"/>
        <v>0</v>
      </c>
      <c r="S855" s="360">
        <f t="shared" ca="1" si="398"/>
        <v>10.637999999999975</v>
      </c>
      <c r="T855" s="357">
        <f t="shared" ca="1" si="378"/>
        <v>104.35877999999975</v>
      </c>
      <c r="U855" s="364">
        <f t="shared" ca="1" si="379"/>
        <v>0</v>
      </c>
      <c r="V855" s="359">
        <f t="shared" ca="1" si="380"/>
        <v>1.0946972451057277</v>
      </c>
      <c r="W855" s="357">
        <f t="shared" ca="1" si="381"/>
        <v>51.565344630216529</v>
      </c>
      <c r="X855" s="343"/>
      <c r="Y855" s="367" t="str">
        <f t="shared" ca="1" si="399"/>
        <v/>
      </c>
      <c r="Z855" s="368" t="str">
        <f t="shared" ca="1" si="400"/>
        <v/>
      </c>
      <c r="AA855" s="369" t="str">
        <f t="shared" ca="1" si="401"/>
        <v/>
      </c>
      <c r="AB855" s="344"/>
      <c r="AC855" s="363" t="e">
        <f t="shared" ca="1" si="402"/>
        <v>#N/A</v>
      </c>
      <c r="AD855" s="376" t="e">
        <f t="shared" ca="1" si="403"/>
        <v>#N/A</v>
      </c>
      <c r="AE855" s="377" t="e">
        <f t="shared" ca="1" si="382"/>
        <v>#N/A</v>
      </c>
      <c r="AF855" s="344"/>
      <c r="AG855" s="359">
        <f t="shared" ca="1" si="404"/>
        <v>4.8191605542869596</v>
      </c>
      <c r="AH855" s="357">
        <f t="shared" ca="1" si="405"/>
        <v>-4.8080028162772912</v>
      </c>
    </row>
    <row r="856" spans="1:34" x14ac:dyDescent="0.25">
      <c r="A856" s="402">
        <f t="shared" ca="1" si="383"/>
        <v>0.1</v>
      </c>
      <c r="B856" s="357">
        <f t="shared" ca="1" si="384"/>
        <v>40.200000000000237</v>
      </c>
      <c r="C856" s="342"/>
      <c r="D856" s="359">
        <f t="shared" ca="1" si="385"/>
        <v>-0.92524286090417607</v>
      </c>
      <c r="E856" s="360">
        <f t="shared" ca="1" si="386"/>
        <v>-5.0518458608878012</v>
      </c>
      <c r="F856" s="357">
        <f t="shared" ca="1" si="387"/>
        <v>5.1358758701728133</v>
      </c>
      <c r="G856" s="359">
        <f t="shared" ca="1" si="388"/>
        <v>27.322566129938412</v>
      </c>
      <c r="H856" s="360">
        <f t="shared" ca="1" si="389"/>
        <v>-141.49003456340998</v>
      </c>
      <c r="I856" s="357">
        <f t="shared" ca="1" si="390"/>
        <v>144.10396420876077</v>
      </c>
      <c r="J856" s="359">
        <f t="shared" ca="1" si="391"/>
        <v>1569.0189284356188</v>
      </c>
      <c r="K856" s="360">
        <f t="shared" ca="1" si="392"/>
        <v>1109.3224741895679</v>
      </c>
      <c r="L856" s="357">
        <f t="shared" ca="1" si="377"/>
        <v>1921.5662230408095</v>
      </c>
      <c r="M856" s="359">
        <f t="shared" ca="1" si="393"/>
        <v>-1.380038373416608</v>
      </c>
      <c r="N856" s="357">
        <f t="shared" ca="1" si="394"/>
        <v>-79.070374362870737</v>
      </c>
      <c r="O856" s="343"/>
      <c r="P856" s="363">
        <f t="shared" ca="1" si="395"/>
        <v>23</v>
      </c>
      <c r="Q856" s="357">
        <f t="shared" ca="1" si="396"/>
        <v>0</v>
      </c>
      <c r="R856" s="359">
        <f t="shared" ca="1" si="397"/>
        <v>0</v>
      </c>
      <c r="S856" s="360">
        <f t="shared" ca="1" si="398"/>
        <v>10.637999999999975</v>
      </c>
      <c r="T856" s="357">
        <f t="shared" ca="1" si="378"/>
        <v>104.35877999999975</v>
      </c>
      <c r="U856" s="364">
        <f t="shared" ca="1" si="379"/>
        <v>0</v>
      </c>
      <c r="V856" s="359">
        <f t="shared" ca="1" si="380"/>
        <v>1.0962492992095056</v>
      </c>
      <c r="W856" s="357">
        <f t="shared" ca="1" si="381"/>
        <v>51.982998586918285</v>
      </c>
      <c r="X856" s="343"/>
      <c r="Y856" s="367" t="str">
        <f t="shared" ca="1" si="399"/>
        <v/>
      </c>
      <c r="Z856" s="368" t="str">
        <f t="shared" ca="1" si="400"/>
        <v/>
      </c>
      <c r="AA856" s="369" t="str">
        <f t="shared" ca="1" si="401"/>
        <v/>
      </c>
      <c r="AB856" s="344"/>
      <c r="AC856" s="363" t="e">
        <f t="shared" ca="1" si="402"/>
        <v>#N/A</v>
      </c>
      <c r="AD856" s="376" t="e">
        <f t="shared" ca="1" si="403"/>
        <v>#N/A</v>
      </c>
      <c r="AE856" s="377" t="e">
        <f t="shared" ca="1" si="382"/>
        <v>#N/A</v>
      </c>
      <c r="AF856" s="344"/>
      <c r="AG856" s="359">
        <f t="shared" ca="1" si="404"/>
        <v>4.7823513263018347</v>
      </c>
      <c r="AH856" s="357">
        <f t="shared" ca="1" si="405"/>
        <v>-4.8472781190276981</v>
      </c>
    </row>
    <row r="857" spans="1:34" x14ac:dyDescent="0.25">
      <c r="A857" s="402">
        <f t="shared" ca="1" si="383"/>
        <v>0.1</v>
      </c>
      <c r="B857" s="357">
        <f t="shared" ca="1" si="384"/>
        <v>40.300000000000239</v>
      </c>
      <c r="C857" s="342"/>
      <c r="D857" s="359">
        <f t="shared" ca="1" si="385"/>
        <v>-0.92650314822388047</v>
      </c>
      <c r="E857" s="360">
        <f t="shared" ca="1" si="386"/>
        <v>-5.0120991790495335</v>
      </c>
      <c r="F857" s="357">
        <f t="shared" ca="1" si="387"/>
        <v>5.0970134651870174</v>
      </c>
      <c r="G857" s="359">
        <f t="shared" ca="1" si="388"/>
        <v>27.229915815116023</v>
      </c>
      <c r="H857" s="360">
        <f t="shared" ca="1" si="389"/>
        <v>-141.99124448131494</v>
      </c>
      <c r="I857" s="357">
        <f t="shared" ca="1" si="390"/>
        <v>144.57863543639792</v>
      </c>
      <c r="J857" s="359">
        <f t="shared" ca="1" si="391"/>
        <v>1571.7465525328716</v>
      </c>
      <c r="K857" s="360">
        <f t="shared" ca="1" si="392"/>
        <v>1095.1484102373315</v>
      </c>
      <c r="L857" s="357">
        <f t="shared" ca="1" si="377"/>
        <v>1915.6558317830272</v>
      </c>
      <c r="M857" s="359">
        <f t="shared" ca="1" si="393"/>
        <v>-1.3813248757058472</v>
      </c>
      <c r="N857" s="357">
        <f t="shared" ca="1" si="394"/>
        <v>-79.144085514378062</v>
      </c>
      <c r="O857" s="343"/>
      <c r="P857" s="363">
        <f t="shared" ca="1" si="395"/>
        <v>23</v>
      </c>
      <c r="Q857" s="357">
        <f t="shared" ca="1" si="396"/>
        <v>0</v>
      </c>
      <c r="R857" s="359">
        <f t="shared" ca="1" si="397"/>
        <v>0</v>
      </c>
      <c r="S857" s="360">
        <f t="shared" ca="1" si="398"/>
        <v>10.637999999999975</v>
      </c>
      <c r="T857" s="357">
        <f t="shared" ca="1" si="378"/>
        <v>104.35877999999975</v>
      </c>
      <c r="U857" s="364">
        <f t="shared" ca="1" si="379"/>
        <v>0</v>
      </c>
      <c r="V857" s="359">
        <f t="shared" ca="1" si="380"/>
        <v>1.0978089723332136</v>
      </c>
      <c r="W857" s="357">
        <f t="shared" ca="1" si="381"/>
        <v>52.40046748999243</v>
      </c>
      <c r="X857" s="343"/>
      <c r="Y857" s="367" t="str">
        <f t="shared" ca="1" si="399"/>
        <v/>
      </c>
      <c r="Z857" s="368" t="str">
        <f t="shared" ca="1" si="400"/>
        <v/>
      </c>
      <c r="AA857" s="369" t="str">
        <f t="shared" ca="1" si="401"/>
        <v/>
      </c>
      <c r="AB857" s="344"/>
      <c r="AC857" s="363" t="e">
        <f t="shared" ca="1" si="402"/>
        <v>#N/A</v>
      </c>
      <c r="AD857" s="376" t="e">
        <f t="shared" ca="1" si="403"/>
        <v>#N/A</v>
      </c>
      <c r="AE857" s="377" t="e">
        <f t="shared" ca="1" si="382"/>
        <v>#N/A</v>
      </c>
      <c r="AF857" s="344"/>
      <c r="AG857" s="359">
        <f t="shared" ca="1" si="404"/>
        <v>4.7455158246121263</v>
      </c>
      <c r="AH857" s="357">
        <f t="shared" ca="1" si="405"/>
        <v>-4.8865386902536576</v>
      </c>
    </row>
    <row r="858" spans="1:34" x14ac:dyDescent="0.25">
      <c r="A858" s="402">
        <f t="shared" ca="1" si="383"/>
        <v>0.1</v>
      </c>
      <c r="B858" s="357">
        <f t="shared" ca="1" si="384"/>
        <v>40.40000000000024</v>
      </c>
      <c r="C858" s="342"/>
      <c r="D858" s="359">
        <f t="shared" ca="1" si="385"/>
        <v>-0.92772092590741539</v>
      </c>
      <c r="E858" s="360">
        <f t="shared" ca="1" si="386"/>
        <v>-4.9723703247798534</v>
      </c>
      <c r="F858" s="357">
        <f t="shared" ca="1" si="387"/>
        <v>5.0581748450520987</v>
      </c>
      <c r="G858" s="359">
        <f t="shared" ca="1" si="388"/>
        <v>27.137143722525281</v>
      </c>
      <c r="H858" s="360">
        <f t="shared" ca="1" si="389"/>
        <v>-142.48848151379292</v>
      </c>
      <c r="I858" s="357">
        <f t="shared" ca="1" si="390"/>
        <v>145.04961886721213</v>
      </c>
      <c r="J858" s="359">
        <f t="shared" ca="1" si="391"/>
        <v>1574.4649055097536</v>
      </c>
      <c r="K858" s="360">
        <f t="shared" ca="1" si="392"/>
        <v>1080.9244239375762</v>
      </c>
      <c r="L858" s="357">
        <f t="shared" ca="1" si="377"/>
        <v>1909.8003426920361</v>
      </c>
      <c r="M858" s="359">
        <f t="shared" ca="1" si="393"/>
        <v>-1.3825986565400321</v>
      </c>
      <c r="N858" s="357">
        <f t="shared" ca="1" si="394"/>
        <v>-79.217067780201518</v>
      </c>
      <c r="O858" s="343"/>
      <c r="P858" s="363">
        <f t="shared" ca="1" si="395"/>
        <v>23</v>
      </c>
      <c r="Q858" s="357">
        <f t="shared" ca="1" si="396"/>
        <v>0</v>
      </c>
      <c r="R858" s="359">
        <f t="shared" ca="1" si="397"/>
        <v>0</v>
      </c>
      <c r="S858" s="360">
        <f t="shared" ca="1" si="398"/>
        <v>10.637999999999975</v>
      </c>
      <c r="T858" s="357">
        <f t="shared" ca="1" si="378"/>
        <v>104.35877999999975</v>
      </c>
      <c r="U858" s="364">
        <f t="shared" ca="1" si="379"/>
        <v>0</v>
      </c>
      <c r="V858" s="359">
        <f t="shared" ca="1" si="380"/>
        <v>1.099376247199106</v>
      </c>
      <c r="W858" s="357">
        <f t="shared" ca="1" si="381"/>
        <v>52.81772318829919</v>
      </c>
      <c r="X858" s="343"/>
      <c r="Y858" s="367" t="str">
        <f t="shared" ca="1" si="399"/>
        <v/>
      </c>
      <c r="Z858" s="368" t="str">
        <f t="shared" ca="1" si="400"/>
        <v/>
      </c>
      <c r="AA858" s="369" t="str">
        <f t="shared" ca="1" si="401"/>
        <v/>
      </c>
      <c r="AB858" s="344"/>
      <c r="AC858" s="363" t="e">
        <f t="shared" ca="1" si="402"/>
        <v>#N/A</v>
      </c>
      <c r="AD858" s="376" t="e">
        <f t="shared" ca="1" si="403"/>
        <v>#N/A</v>
      </c>
      <c r="AE858" s="377" t="e">
        <f t="shared" ca="1" si="382"/>
        <v>#N/A</v>
      </c>
      <c r="AF858" s="344"/>
      <c r="AG858" s="359">
        <f t="shared" ca="1" si="404"/>
        <v>4.7086575804939832</v>
      </c>
      <c r="AH858" s="357">
        <f t="shared" ca="1" si="405"/>
        <v>-4.9257818659515467</v>
      </c>
    </row>
    <row r="859" spans="1:34" x14ac:dyDescent="0.25">
      <c r="A859" s="402">
        <f t="shared" ca="1" si="383"/>
        <v>0.1</v>
      </c>
      <c r="B859" s="357">
        <f t="shared" ca="1" si="384"/>
        <v>40.500000000000242</v>
      </c>
      <c r="C859" s="342"/>
      <c r="D859" s="359">
        <f t="shared" ca="1" si="385"/>
        <v>-0.92889629987283473</v>
      </c>
      <c r="E859" s="360">
        <f t="shared" ca="1" si="386"/>
        <v>-4.9326619645015324</v>
      </c>
      <c r="F859" s="357">
        <f t="shared" ca="1" si="387"/>
        <v>5.0193627475963085</v>
      </c>
      <c r="G859" s="359">
        <f t="shared" ca="1" si="388"/>
        <v>27.044254092537997</v>
      </c>
      <c r="H859" s="360">
        <f t="shared" ca="1" si="389"/>
        <v>-142.98174771024307</v>
      </c>
      <c r="I859" s="357">
        <f t="shared" ca="1" si="390"/>
        <v>145.51691261739083</v>
      </c>
      <c r="J859" s="359">
        <f t="shared" ca="1" si="391"/>
        <v>1577.1739754005068</v>
      </c>
      <c r="K859" s="360">
        <f t="shared" ca="1" si="392"/>
        <v>1066.6509124763743</v>
      </c>
      <c r="L859" s="357">
        <f t="shared" ca="1" si="377"/>
        <v>1904.0015540349018</v>
      </c>
      <c r="M859" s="359">
        <f t="shared" ca="1" si="393"/>
        <v>-1.3838599123894426</v>
      </c>
      <c r="N859" s="357">
        <f t="shared" ca="1" si="394"/>
        <v>-79.289332417258919</v>
      </c>
      <c r="O859" s="343"/>
      <c r="P859" s="363">
        <f t="shared" ca="1" si="395"/>
        <v>23</v>
      </c>
      <c r="Q859" s="357">
        <f t="shared" ca="1" si="396"/>
        <v>0</v>
      </c>
      <c r="R859" s="359">
        <f t="shared" ca="1" si="397"/>
        <v>0</v>
      </c>
      <c r="S859" s="360">
        <f t="shared" ca="1" si="398"/>
        <v>10.637999999999975</v>
      </c>
      <c r="T859" s="357">
        <f t="shared" ca="1" si="378"/>
        <v>104.35877999999975</v>
      </c>
      <c r="U859" s="364">
        <f t="shared" ca="1" si="379"/>
        <v>0</v>
      </c>
      <c r="V859" s="359">
        <f t="shared" ca="1" si="380"/>
        <v>1.10095110649413</v>
      </c>
      <c r="W859" s="357">
        <f t="shared" ca="1" si="381"/>
        <v>53.234737722314136</v>
      </c>
      <c r="X859" s="343"/>
      <c r="Y859" s="367" t="str">
        <f t="shared" ca="1" si="399"/>
        <v/>
      </c>
      <c r="Z859" s="368" t="str">
        <f t="shared" ca="1" si="400"/>
        <v/>
      </c>
      <c r="AA859" s="369" t="str">
        <f t="shared" ca="1" si="401"/>
        <v/>
      </c>
      <c r="AB859" s="344"/>
      <c r="AC859" s="363" t="e">
        <f t="shared" ca="1" si="402"/>
        <v>#N/A</v>
      </c>
      <c r="AD859" s="376" t="e">
        <f t="shared" ca="1" si="403"/>
        <v>#N/A</v>
      </c>
      <c r="AE859" s="377" t="e">
        <f t="shared" ca="1" si="382"/>
        <v>#N/A</v>
      </c>
      <c r="AF859" s="344"/>
      <c r="AG859" s="359">
        <f t="shared" ca="1" si="404"/>
        <v>4.6717800849242526</v>
      </c>
      <c r="AH859" s="357">
        <f t="shared" ca="1" si="405"/>
        <v>-4.9650049998401311</v>
      </c>
    </row>
    <row r="860" spans="1:34" x14ac:dyDescent="0.25">
      <c r="A860" s="402">
        <f t="shared" ca="1" si="383"/>
        <v>0.1</v>
      </c>
      <c r="B860" s="357">
        <f t="shared" ca="1" si="384"/>
        <v>40.600000000000243</v>
      </c>
      <c r="C860" s="342"/>
      <c r="D860" s="359">
        <f t="shared" ca="1" si="385"/>
        <v>-0.93002938047530914</v>
      </c>
      <c r="E860" s="360">
        <f t="shared" ca="1" si="386"/>
        <v>-4.8929767466603886</v>
      </c>
      <c r="F860" s="357">
        <f t="shared" ca="1" si="387"/>
        <v>4.9805798951433928</v>
      </c>
      <c r="G860" s="359">
        <f t="shared" ca="1" si="388"/>
        <v>26.951251154490468</v>
      </c>
      <c r="H860" s="360">
        <f t="shared" ca="1" si="389"/>
        <v>-143.4710453849091</v>
      </c>
      <c r="I860" s="357">
        <f t="shared" ca="1" si="390"/>
        <v>145.98051514716295</v>
      </c>
      <c r="J860" s="359">
        <f t="shared" ca="1" si="391"/>
        <v>1579.8737506628584</v>
      </c>
      <c r="K860" s="360">
        <f t="shared" ca="1" si="392"/>
        <v>1052.3282728216168</v>
      </c>
      <c r="L860" s="357">
        <f t="shared" ca="1" si="377"/>
        <v>1898.2612733270557</v>
      </c>
      <c r="M860" s="359">
        <f t="shared" ca="1" si="393"/>
        <v>-1.3851088356787373</v>
      </c>
      <c r="N860" s="357">
        <f t="shared" ca="1" si="394"/>
        <v>-79.360890450671107</v>
      </c>
      <c r="O860" s="343"/>
      <c r="P860" s="363">
        <f t="shared" ca="1" si="395"/>
        <v>23</v>
      </c>
      <c r="Q860" s="357">
        <f t="shared" ca="1" si="396"/>
        <v>0</v>
      </c>
      <c r="R860" s="359">
        <f t="shared" ca="1" si="397"/>
        <v>0</v>
      </c>
      <c r="S860" s="360">
        <f t="shared" ca="1" si="398"/>
        <v>10.637999999999975</v>
      </c>
      <c r="T860" s="357">
        <f t="shared" ca="1" si="378"/>
        <v>104.35877999999975</v>
      </c>
      <c r="U860" s="364">
        <f t="shared" ca="1" si="379"/>
        <v>0</v>
      </c>
      <c r="V860" s="359">
        <f t="shared" ca="1" si="380"/>
        <v>1.1025335328709744</v>
      </c>
      <c r="W860" s="357">
        <f t="shared" ca="1" si="381"/>
        <v>53.651483327158957</v>
      </c>
      <c r="X860" s="343"/>
      <c r="Y860" s="367" t="str">
        <f t="shared" ca="1" si="399"/>
        <v/>
      </c>
      <c r="Z860" s="368" t="str">
        <f t="shared" ca="1" si="400"/>
        <v/>
      </c>
      <c r="AA860" s="369" t="str">
        <f t="shared" ca="1" si="401"/>
        <v/>
      </c>
      <c r="AB860" s="344"/>
      <c r="AC860" s="363" t="e">
        <f t="shared" ca="1" si="402"/>
        <v>#N/A</v>
      </c>
      <c r="AD860" s="376" t="e">
        <f t="shared" ca="1" si="403"/>
        <v>#N/A</v>
      </c>
      <c r="AE860" s="377" t="e">
        <f t="shared" ca="1" si="382"/>
        <v>#N/A</v>
      </c>
      <c r="AF860" s="344"/>
      <c r="AG860" s="359">
        <f t="shared" ca="1" si="404"/>
        <v>4.6348867889832963</v>
      </c>
      <c r="AH860" s="357">
        <f t="shared" ca="1" si="405"/>
        <v>-5.0042054636505231</v>
      </c>
    </row>
    <row r="861" spans="1:34" x14ac:dyDescent="0.25">
      <c r="A861" s="402">
        <f t="shared" ca="1" si="383"/>
        <v>0.1</v>
      </c>
      <c r="B861" s="357">
        <f t="shared" ca="1" si="384"/>
        <v>40.700000000000244</v>
      </c>
      <c r="C861" s="342"/>
      <c r="D861" s="359">
        <f t="shared" ca="1" si="385"/>
        <v>-0.93112028245034173</v>
      </c>
      <c r="E861" s="360">
        <f t="shared" ca="1" si="386"/>
        <v>-4.8533173014313089</v>
      </c>
      <c r="F861" s="357">
        <f t="shared" ca="1" si="387"/>
        <v>4.9418289942857081</v>
      </c>
      <c r="G861" s="359">
        <f t="shared" ca="1" si="388"/>
        <v>26.858139126245433</v>
      </c>
      <c r="H861" s="360">
        <f t="shared" ca="1" si="389"/>
        <v>-143.95637711505225</v>
      </c>
      <c r="I861" s="357">
        <f t="shared" ca="1" si="390"/>
        <v>146.44042525688013</v>
      </c>
      <c r="J861" s="359">
        <f t="shared" ca="1" si="391"/>
        <v>1582.5642201768951</v>
      </c>
      <c r="K861" s="360">
        <f t="shared" ca="1" si="392"/>
        <v>1037.9569016966186</v>
      </c>
      <c r="L861" s="357">
        <f t="shared" ca="1" si="377"/>
        <v>1892.5813168167301</v>
      </c>
      <c r="M861" s="359">
        <f t="shared" ca="1" si="393"/>
        <v>-1.3863456148881013</v>
      </c>
      <c r="N861" s="357">
        <f t="shared" ca="1" si="394"/>
        <v>-79.431752679557192</v>
      </c>
      <c r="O861" s="343"/>
      <c r="P861" s="363">
        <f t="shared" ca="1" si="395"/>
        <v>23</v>
      </c>
      <c r="Q861" s="357">
        <f t="shared" ca="1" si="396"/>
        <v>0</v>
      </c>
      <c r="R861" s="359">
        <f t="shared" ca="1" si="397"/>
        <v>0</v>
      </c>
      <c r="S861" s="360">
        <f t="shared" ca="1" si="398"/>
        <v>10.637999999999975</v>
      </c>
      <c r="T861" s="357">
        <f t="shared" ca="1" si="378"/>
        <v>104.35877999999975</v>
      </c>
      <c r="U861" s="364">
        <f t="shared" ca="1" si="379"/>
        <v>0</v>
      </c>
      <c r="V861" s="359">
        <f t="shared" ca="1" si="380"/>
        <v>1.1041235089491206</v>
      </c>
      <c r="W861" s="357">
        <f t="shared" ca="1" si="381"/>
        <v>54.067932435578101</v>
      </c>
      <c r="X861" s="343"/>
      <c r="Y861" s="367" t="str">
        <f t="shared" ca="1" si="399"/>
        <v/>
      </c>
      <c r="Z861" s="368" t="str">
        <f t="shared" ca="1" si="400"/>
        <v/>
      </c>
      <c r="AA861" s="369" t="str">
        <f t="shared" ca="1" si="401"/>
        <v/>
      </c>
      <c r="AB861" s="344"/>
      <c r="AC861" s="363" t="e">
        <f t="shared" ca="1" si="402"/>
        <v>#N/A</v>
      </c>
      <c r="AD861" s="376" t="e">
        <f t="shared" ca="1" si="403"/>
        <v>#N/A</v>
      </c>
      <c r="AE861" s="377" t="e">
        <f t="shared" ca="1" si="382"/>
        <v>#N/A</v>
      </c>
      <c r="AF861" s="344"/>
      <c r="AG861" s="359">
        <f t="shared" ca="1" si="404"/>
        <v>4.5979811042384933</v>
      </c>
      <c r="AH861" s="357">
        <f t="shared" ca="1" si="405"/>
        <v>-5.0433806474110812</v>
      </c>
    </row>
    <row r="862" spans="1:34" x14ac:dyDescent="0.25">
      <c r="A862" s="402">
        <f t="shared" ca="1" si="383"/>
        <v>0.1</v>
      </c>
      <c r="B862" s="357">
        <f t="shared" ca="1" si="384"/>
        <v>40.800000000000246</v>
      </c>
      <c r="C862" s="342"/>
      <c r="D862" s="359">
        <f t="shared" ca="1" si="385"/>
        <v>-0.93216912485695391</v>
      </c>
      <c r="E862" s="360">
        <f t="shared" ca="1" si="386"/>
        <v>-4.8136862404296092</v>
      </c>
      <c r="F862" s="357">
        <f t="shared" ca="1" si="387"/>
        <v>4.9031127356647559</v>
      </c>
      <c r="G862" s="359">
        <f t="shared" ca="1" si="388"/>
        <v>26.764922213759739</v>
      </c>
      <c r="H862" s="360">
        <f t="shared" ca="1" si="389"/>
        <v>-144.43774573909522</v>
      </c>
      <c r="I862" s="357">
        <f t="shared" ca="1" si="390"/>
        <v>146.89664208313314</v>
      </c>
      <c r="J862" s="359">
        <f t="shared" ca="1" si="391"/>
        <v>1585.2453732438953</v>
      </c>
      <c r="K862" s="360">
        <f t="shared" ca="1" si="392"/>
        <v>1023.5371955539113</v>
      </c>
      <c r="L862" s="357">
        <f t="shared" ca="1" si="377"/>
        <v>1886.963508940632</v>
      </c>
      <c r="M862" s="359">
        <f t="shared" ca="1" si="393"/>
        <v>-1.3875704346514328</v>
      </c>
      <c r="N862" s="357">
        <f t="shared" ca="1" si="394"/>
        <v>-79.501929682660304</v>
      </c>
      <c r="O862" s="343"/>
      <c r="P862" s="363">
        <f t="shared" ca="1" si="395"/>
        <v>23</v>
      </c>
      <c r="Q862" s="357">
        <f t="shared" ca="1" si="396"/>
        <v>0</v>
      </c>
      <c r="R862" s="359">
        <f t="shared" ca="1" si="397"/>
        <v>0</v>
      </c>
      <c r="S862" s="360">
        <f t="shared" ca="1" si="398"/>
        <v>10.637999999999975</v>
      </c>
      <c r="T862" s="357">
        <f t="shared" ca="1" si="378"/>
        <v>104.35877999999975</v>
      </c>
      <c r="U862" s="364">
        <f t="shared" ca="1" si="379"/>
        <v>0</v>
      </c>
      <c r="V862" s="359">
        <f t="shared" ca="1" si="380"/>
        <v>1.1057210173158962</v>
      </c>
      <c r="W862" s="357">
        <f t="shared" ca="1" si="381"/>
        <v>54.484057680860438</v>
      </c>
      <c r="X862" s="343"/>
      <c r="Y862" s="367" t="str">
        <f t="shared" ca="1" si="399"/>
        <v/>
      </c>
      <c r="Z862" s="368" t="str">
        <f t="shared" ca="1" si="400"/>
        <v/>
      </c>
      <c r="AA862" s="369" t="str">
        <f t="shared" ca="1" si="401"/>
        <v/>
      </c>
      <c r="AB862" s="344"/>
      <c r="AC862" s="363" t="e">
        <f t="shared" ca="1" si="402"/>
        <v>#N/A</v>
      </c>
      <c r="AD862" s="376" t="e">
        <f t="shared" ca="1" si="403"/>
        <v>#N/A</v>
      </c>
      <c r="AE862" s="377" t="e">
        <f t="shared" ca="1" si="382"/>
        <v>#N/A</v>
      </c>
      <c r="AF862" s="344"/>
      <c r="AG862" s="359">
        <f t="shared" ca="1" si="404"/>
        <v>4.5610664031095043</v>
      </c>
      <c r="AH862" s="357">
        <f t="shared" ca="1" si="405"/>
        <v>-5.0825279597272255</v>
      </c>
    </row>
    <row r="863" spans="1:34" x14ac:dyDescent="0.25">
      <c r="A863" s="402">
        <f t="shared" ca="1" si="383"/>
        <v>0.1</v>
      </c>
      <c r="B863" s="357">
        <f t="shared" ca="1" si="384"/>
        <v>40.900000000000247</v>
      </c>
      <c r="C863" s="342"/>
      <c r="D863" s="359">
        <f t="shared" ca="1" si="385"/>
        <v>-0.93317603102083146</v>
      </c>
      <c r="E863" s="360">
        <f t="shared" ca="1" si="386"/>
        <v>-4.7740861564278347</v>
      </c>
      <c r="F863" s="357">
        <f t="shared" ca="1" si="387"/>
        <v>4.8644337937593196</v>
      </c>
      <c r="G863" s="359">
        <f t="shared" ca="1" si="388"/>
        <v>26.671604610657656</v>
      </c>
      <c r="H863" s="360">
        <f t="shared" ca="1" si="389"/>
        <v>-144.91515435473801</v>
      </c>
      <c r="I863" s="357">
        <f t="shared" ca="1" si="390"/>
        <v>147.34916509490236</v>
      </c>
      <c r="J863" s="359">
        <f t="shared" ca="1" si="391"/>
        <v>1587.9171995851161</v>
      </c>
      <c r="K863" s="360">
        <f t="shared" ca="1" si="392"/>
        <v>1009.0695505492196</v>
      </c>
      <c r="L863" s="357">
        <f t="shared" ca="1" si="377"/>
        <v>1881.4096817503203</v>
      </c>
      <c r="M863" s="359">
        <f t="shared" ca="1" si="393"/>
        <v>-1.3887834758516699</v>
      </c>
      <c r="N863" s="357">
        <f t="shared" ca="1" si="394"/>
        <v>-79.571431823809377</v>
      </c>
      <c r="O863" s="343"/>
      <c r="P863" s="363">
        <f t="shared" ca="1" si="395"/>
        <v>23</v>
      </c>
      <c r="Q863" s="357">
        <f t="shared" ca="1" si="396"/>
        <v>0</v>
      </c>
      <c r="R863" s="359">
        <f t="shared" ca="1" si="397"/>
        <v>0</v>
      </c>
      <c r="S863" s="360">
        <f t="shared" ca="1" si="398"/>
        <v>10.637999999999975</v>
      </c>
      <c r="T863" s="357">
        <f t="shared" ca="1" si="378"/>
        <v>104.35877999999975</v>
      </c>
      <c r="U863" s="364">
        <f t="shared" ca="1" si="379"/>
        <v>0</v>
      </c>
      <c r="V863" s="359">
        <f t="shared" ca="1" si="380"/>
        <v>1.1073260405275323</v>
      </c>
      <c r="W863" s="357">
        <f t="shared" ca="1" si="381"/>
        <v>54.899831899705994</v>
      </c>
      <c r="X863" s="343"/>
      <c r="Y863" s="367" t="str">
        <f t="shared" ca="1" si="399"/>
        <v/>
      </c>
      <c r="Z863" s="368" t="str">
        <f t="shared" ca="1" si="400"/>
        <v/>
      </c>
      <c r="AA863" s="369" t="str">
        <f t="shared" ca="1" si="401"/>
        <v/>
      </c>
      <c r="AB863" s="344"/>
      <c r="AC863" s="363" t="e">
        <f t="shared" ca="1" si="402"/>
        <v>#N/A</v>
      </c>
      <c r="AD863" s="376" t="e">
        <f t="shared" ca="1" si="403"/>
        <v>#N/A</v>
      </c>
      <c r="AE863" s="377" t="e">
        <f t="shared" ca="1" si="382"/>
        <v>#N/A</v>
      </c>
      <c r="AF863" s="344"/>
      <c r="AG863" s="359">
        <f t="shared" ca="1" si="404"/>
        <v>4.5241460192162428</v>
      </c>
      <c r="AH863" s="357">
        <f t="shared" ca="1" si="405"/>
        <v>-5.1216448280560787</v>
      </c>
    </row>
    <row r="864" spans="1:34" x14ac:dyDescent="0.25">
      <c r="A864" s="402">
        <f t="shared" ca="1" si="383"/>
        <v>0.1</v>
      </c>
      <c r="B864" s="357">
        <f t="shared" ca="1" si="384"/>
        <v>41.000000000000249</v>
      </c>
      <c r="C864" s="342"/>
      <c r="D864" s="359">
        <f t="shared" ca="1" si="385"/>
        <v>-0.93414112847743558</v>
      </c>
      <c r="E864" s="360">
        <f t="shared" ca="1" si="386"/>
        <v>-4.7345196230779427</v>
      </c>
      <c r="F864" s="357">
        <f t="shared" ca="1" si="387"/>
        <v>4.8257948266812178</v>
      </c>
      <c r="G864" s="359">
        <f t="shared" ca="1" si="388"/>
        <v>26.578190497809913</v>
      </c>
      <c r="H864" s="360">
        <f t="shared" ca="1" si="389"/>
        <v>-145.3886063170458</v>
      </c>
      <c r="I864" s="357">
        <f t="shared" ca="1" si="390"/>
        <v>147.79799408973994</v>
      </c>
      <c r="J864" s="359">
        <f t="shared" ca="1" si="391"/>
        <v>1590.5796893405395</v>
      </c>
      <c r="K864" s="360">
        <f t="shared" ca="1" si="392"/>
        <v>994.55436251563037</v>
      </c>
      <c r="L864" s="357">
        <f t="shared" ca="1" si="377"/>
        <v>1875.9216743087968</v>
      </c>
      <c r="M864" s="359">
        <f t="shared" ca="1" si="393"/>
        <v>-1.3899849157133473</v>
      </c>
      <c r="N864" s="357">
        <f t="shared" ca="1" si="394"/>
        <v>-79.640269257222258</v>
      </c>
      <c r="O864" s="343"/>
      <c r="P864" s="363">
        <f t="shared" ca="1" si="395"/>
        <v>23</v>
      </c>
      <c r="Q864" s="357">
        <f t="shared" ca="1" si="396"/>
        <v>0</v>
      </c>
      <c r="R864" s="359">
        <f t="shared" ca="1" si="397"/>
        <v>0</v>
      </c>
      <c r="S864" s="360">
        <f t="shared" ca="1" si="398"/>
        <v>10.637999999999975</v>
      </c>
      <c r="T864" s="357">
        <f t="shared" ca="1" si="378"/>
        <v>104.35877999999975</v>
      </c>
      <c r="U864" s="364">
        <f t="shared" ca="1" si="379"/>
        <v>0</v>
      </c>
      <c r="V864" s="359">
        <f t="shared" ca="1" si="380"/>
        <v>1.1089385611102189</v>
      </c>
      <c r="W864" s="357">
        <f t="shared" ca="1" si="381"/>
        <v>55.315228135036314</v>
      </c>
      <c r="X864" s="343"/>
      <c r="Y864" s="367" t="str">
        <f t="shared" ca="1" si="399"/>
        <v/>
      </c>
      <c r="Z864" s="368" t="str">
        <f t="shared" ca="1" si="400"/>
        <v/>
      </c>
      <c r="AA864" s="369" t="str">
        <f t="shared" ca="1" si="401"/>
        <v/>
      </c>
      <c r="AB864" s="344"/>
      <c r="AC864" s="363">
        <f t="shared" ca="1" si="402"/>
        <v>41.000000000000249</v>
      </c>
      <c r="AD864" s="376">
        <f t="shared" ca="1" si="403"/>
        <v>1590.5796893405395</v>
      </c>
      <c r="AE864" s="377" t="e">
        <f t="shared" ca="1" si="382"/>
        <v>#N/A</v>
      </c>
      <c r="AF864" s="344"/>
      <c r="AG864" s="359">
        <f t="shared" ca="1" si="404"/>
        <v>4.4872232477104577</v>
      </c>
      <c r="AH864" s="357">
        <f t="shared" ca="1" si="405"/>
        <v>-5.1607286989759471</v>
      </c>
    </row>
    <row r="865" spans="1:34" x14ac:dyDescent="0.25">
      <c r="A865" s="402">
        <f t="shared" ca="1" si="383"/>
        <v>0.1</v>
      </c>
      <c r="B865" s="357">
        <f t="shared" ca="1" si="384"/>
        <v>41.10000000000025</v>
      </c>
      <c r="C865" s="342"/>
      <c r="D865" s="359">
        <f t="shared" ca="1" si="385"/>
        <v>-0.93506454891507285</v>
      </c>
      <c r="E865" s="360">
        <f t="shared" ca="1" si="386"/>
        <v>-4.694989194639045</v>
      </c>
      <c r="F865" s="357">
        <f t="shared" ca="1" si="387"/>
        <v>4.7871984759789452</v>
      </c>
      <c r="G865" s="359">
        <f t="shared" ca="1" si="388"/>
        <v>26.484684042918406</v>
      </c>
      <c r="H865" s="360">
        <f t="shared" ca="1" si="389"/>
        <v>-145.85810523650972</v>
      </c>
      <c r="I865" s="357">
        <f t="shared" ca="1" si="390"/>
        <v>148.24312918998291</v>
      </c>
      <c r="J865" s="359">
        <f t="shared" ca="1" si="391"/>
        <v>1593.2328330675759</v>
      </c>
      <c r="K865" s="360">
        <f t="shared" ca="1" si="392"/>
        <v>979.99202693795257</v>
      </c>
      <c r="L865" s="357">
        <f t="shared" ca="1" si="377"/>
        <v>1870.501332056861</v>
      </c>
      <c r="M865" s="359">
        <f t="shared" ca="1" si="393"/>
        <v>-1.3911749278924808</v>
      </c>
      <c r="N865" s="357">
        <f t="shared" ca="1" si="394"/>
        <v>-79.708451932655777</v>
      </c>
      <c r="O865" s="343"/>
      <c r="P865" s="363">
        <f t="shared" ca="1" si="395"/>
        <v>23</v>
      </c>
      <c r="Q865" s="357">
        <f t="shared" ca="1" si="396"/>
        <v>0</v>
      </c>
      <c r="R865" s="359">
        <f t="shared" ca="1" si="397"/>
        <v>0</v>
      </c>
      <c r="S865" s="360">
        <f t="shared" ca="1" si="398"/>
        <v>10.637999999999975</v>
      </c>
      <c r="T865" s="357">
        <f t="shared" ca="1" si="378"/>
        <v>104.35877999999975</v>
      </c>
      <c r="U865" s="364">
        <f t="shared" ca="1" si="379"/>
        <v>0</v>
      </c>
      <c r="V865" s="359">
        <f t="shared" ca="1" si="380"/>
        <v>1.1105585615611693</v>
      </c>
      <c r="W865" s="357">
        <f t="shared" ca="1" si="381"/>
        <v>55.730219638749077</v>
      </c>
      <c r="X865" s="343"/>
      <c r="Y865" s="367" t="str">
        <f t="shared" ca="1" si="399"/>
        <v/>
      </c>
      <c r="Z865" s="368" t="str">
        <f t="shared" ca="1" si="400"/>
        <v/>
      </c>
      <c r="AA865" s="369" t="str">
        <f t="shared" ca="1" si="401"/>
        <v/>
      </c>
      <c r="AB865" s="344"/>
      <c r="AC865" s="363" t="e">
        <f t="shared" ca="1" si="402"/>
        <v>#N/A</v>
      </c>
      <c r="AD865" s="376" t="e">
        <f t="shared" ca="1" si="403"/>
        <v>#N/A</v>
      </c>
      <c r="AE865" s="377" t="e">
        <f t="shared" ca="1" si="382"/>
        <v>#N/A</v>
      </c>
      <c r="AF865" s="344"/>
      <c r="AG865" s="359">
        <f t="shared" ca="1" si="404"/>
        <v>4.4503013455918534</v>
      </c>
      <c r="AH865" s="357">
        <f t="shared" ca="1" si="405"/>
        <v>-5.1997770384505024</v>
      </c>
    </row>
    <row r="866" spans="1:34" x14ac:dyDescent="0.25">
      <c r="A866" s="402">
        <f t="shared" ca="1" si="383"/>
        <v>0.1</v>
      </c>
      <c r="B866" s="357">
        <f t="shared" ca="1" si="384"/>
        <v>41.200000000000252</v>
      </c>
      <c r="C866" s="342"/>
      <c r="D866" s="359">
        <f t="shared" ca="1" si="385"/>
        <v>-0.93594642811791329</v>
      </c>
      <c r="E866" s="360">
        <f t="shared" ca="1" si="386"/>
        <v>-4.6554974057106024</v>
      </c>
      <c r="F866" s="357">
        <f t="shared" ca="1" si="387"/>
        <v>4.7486473664491902</v>
      </c>
      <c r="G866" s="359">
        <f t="shared" ca="1" si="388"/>
        <v>26.391089400106615</v>
      </c>
      <c r="H866" s="360">
        <f t="shared" ca="1" si="389"/>
        <v>-146.32365497708076</v>
      </c>
      <c r="I866" s="357">
        <f t="shared" ca="1" si="390"/>
        <v>148.68457083899523</v>
      </c>
      <c r="J866" s="359">
        <f t="shared" ca="1" si="391"/>
        <v>1595.8766217397272</v>
      </c>
      <c r="K866" s="360">
        <f t="shared" ca="1" si="392"/>
        <v>965.38293892727302</v>
      </c>
      <c r="L866" s="357">
        <f t="shared" ca="1" si="377"/>
        <v>1865.1505061488372</v>
      </c>
      <c r="M866" s="359">
        <f t="shared" ca="1" si="393"/>
        <v>-1.3923536825638629</v>
      </c>
      <c r="N866" s="357">
        <f t="shared" ca="1" si="394"/>
        <v>-79.7759896004073</v>
      </c>
      <c r="O866" s="343"/>
      <c r="P866" s="363">
        <f t="shared" ca="1" si="395"/>
        <v>23</v>
      </c>
      <c r="Q866" s="357">
        <f t="shared" ca="1" si="396"/>
        <v>0</v>
      </c>
      <c r="R866" s="359">
        <f t="shared" ca="1" si="397"/>
        <v>0</v>
      </c>
      <c r="S866" s="360">
        <f t="shared" ca="1" si="398"/>
        <v>10.637999999999975</v>
      </c>
      <c r="T866" s="357">
        <f t="shared" ca="1" si="378"/>
        <v>104.35877999999975</v>
      </c>
      <c r="U866" s="364">
        <f t="shared" ca="1" si="379"/>
        <v>0</v>
      </c>
      <c r="V866" s="359">
        <f t="shared" ca="1" si="380"/>
        <v>1.1121860243496782</v>
      </c>
      <c r="W866" s="357">
        <f t="shared" ca="1" si="381"/>
        <v>56.144779874415484</v>
      </c>
      <c r="X866" s="343"/>
      <c r="Y866" s="367" t="str">
        <f t="shared" ca="1" si="399"/>
        <v/>
      </c>
      <c r="Z866" s="368" t="str">
        <f t="shared" ca="1" si="400"/>
        <v/>
      </c>
      <c r="AA866" s="369" t="str">
        <f t="shared" ca="1" si="401"/>
        <v/>
      </c>
      <c r="AB866" s="344"/>
      <c r="AC866" s="363" t="e">
        <f t="shared" ca="1" si="402"/>
        <v>#N/A</v>
      </c>
      <c r="AD866" s="376" t="e">
        <f t="shared" ca="1" si="403"/>
        <v>#N/A</v>
      </c>
      <c r="AE866" s="377" t="e">
        <f t="shared" ca="1" si="382"/>
        <v>#N/A</v>
      </c>
      <c r="AF866" s="344"/>
      <c r="AG866" s="359">
        <f t="shared" ca="1" si="404"/>
        <v>4.4133835320095463</v>
      </c>
      <c r="AH866" s="357">
        <f t="shared" ca="1" si="405"/>
        <v>-5.2387873320877238</v>
      </c>
    </row>
    <row r="867" spans="1:34" x14ac:dyDescent="0.25">
      <c r="A867" s="402">
        <f t="shared" ca="1" si="383"/>
        <v>0.1</v>
      </c>
      <c r="B867" s="357">
        <f t="shared" ca="1" si="384"/>
        <v>41.300000000000253</v>
      </c>
      <c r="C867" s="342"/>
      <c r="D867" s="359">
        <f t="shared" ca="1" si="385"/>
        <v>-0.93678690590896663</v>
      </c>
      <c r="E867" s="360">
        <f t="shared" ca="1" si="386"/>
        <v>-4.6160467709712325</v>
      </c>
      <c r="F867" s="357">
        <f t="shared" ca="1" si="387"/>
        <v>4.7101441059564664</v>
      </c>
      <c r="G867" s="359">
        <f t="shared" ca="1" si="388"/>
        <v>26.29741070951572</v>
      </c>
      <c r="H867" s="360">
        <f t="shared" ca="1" si="389"/>
        <v>-146.78525965417788</v>
      </c>
      <c r="I867" s="357">
        <f t="shared" ca="1" si="390"/>
        <v>149.122319797438</v>
      </c>
      <c r="J867" s="359">
        <f t="shared" ca="1" si="391"/>
        <v>1598.5110467452082</v>
      </c>
      <c r="K867" s="360">
        <f t="shared" ca="1" si="392"/>
        <v>950.72749319571005</v>
      </c>
      <c r="L867" s="357">
        <f t="shared" ca="1" si="377"/>
        <v>1859.8710527573303</v>
      </c>
      <c r="M867" s="359">
        <f t="shared" ca="1" si="393"/>
        <v>-1.3935213465058556</v>
      </c>
      <c r="N867" s="357">
        <f t="shared" ca="1" si="394"/>
        <v>-79.842891816173093</v>
      </c>
      <c r="O867" s="343"/>
      <c r="P867" s="363">
        <f t="shared" ca="1" si="395"/>
        <v>23</v>
      </c>
      <c r="Q867" s="357">
        <f t="shared" ca="1" si="396"/>
        <v>0</v>
      </c>
      <c r="R867" s="359">
        <f t="shared" ca="1" si="397"/>
        <v>0</v>
      </c>
      <c r="S867" s="360">
        <f t="shared" ca="1" si="398"/>
        <v>10.637999999999975</v>
      </c>
      <c r="T867" s="357">
        <f t="shared" ca="1" si="378"/>
        <v>104.35877999999975</v>
      </c>
      <c r="U867" s="364">
        <f t="shared" ca="1" si="379"/>
        <v>0</v>
      </c>
      <c r="V867" s="359">
        <f t="shared" ca="1" si="380"/>
        <v>1.1138209319181882</v>
      </c>
      <c r="W867" s="357">
        <f t="shared" ca="1" si="381"/>
        <v>56.5588825199208</v>
      </c>
      <c r="X867" s="343"/>
      <c r="Y867" s="367" t="str">
        <f t="shared" ca="1" si="399"/>
        <v/>
      </c>
      <c r="Z867" s="368" t="str">
        <f t="shared" ca="1" si="400"/>
        <v/>
      </c>
      <c r="AA867" s="369" t="str">
        <f t="shared" ca="1" si="401"/>
        <v/>
      </c>
      <c r="AB867" s="344"/>
      <c r="AC867" s="363" t="e">
        <f t="shared" ca="1" si="402"/>
        <v>#N/A</v>
      </c>
      <c r="AD867" s="376" t="e">
        <f t="shared" ca="1" si="403"/>
        <v>#N/A</v>
      </c>
      <c r="AE867" s="377" t="e">
        <f t="shared" ca="1" si="382"/>
        <v>#N/A</v>
      </c>
      <c r="AF867" s="344"/>
      <c r="AG867" s="359">
        <f t="shared" ca="1" si="404"/>
        <v>4.3764729885497182</v>
      </c>
      <c r="AH867" s="357">
        <f t="shared" ca="1" si="405"/>
        <v>-5.2777570853934588</v>
      </c>
    </row>
    <row r="868" spans="1:34" x14ac:dyDescent="0.25">
      <c r="A868" s="402">
        <f t="shared" ca="1" si="383"/>
        <v>0.1</v>
      </c>
      <c r="B868" s="357">
        <f t="shared" ca="1" si="384"/>
        <v>41.400000000000254</v>
      </c>
      <c r="C868" s="342"/>
      <c r="D868" s="359">
        <f t="shared" ca="1" si="385"/>
        <v>-0.93758612609301151</v>
      </c>
      <c r="E868" s="360">
        <f t="shared" ca="1" si="386"/>
        <v>-4.5766397849230751</v>
      </c>
      <c r="F868" s="357">
        <f t="shared" ca="1" si="387"/>
        <v>4.6716912852609207</v>
      </c>
      <c r="G868" s="359">
        <f t="shared" ca="1" si="388"/>
        <v>26.203652096906421</v>
      </c>
      <c r="H868" s="360">
        <f t="shared" ca="1" si="389"/>
        <v>-147.2429236326702</v>
      </c>
      <c r="I868" s="357">
        <f t="shared" ca="1" si="390"/>
        <v>149.55637713956585</v>
      </c>
      <c r="J868" s="359">
        <f t="shared" ca="1" si="391"/>
        <v>1601.1360998855293</v>
      </c>
      <c r="K868" s="360">
        <f t="shared" ca="1" si="392"/>
        <v>936.02608403136765</v>
      </c>
      <c r="L868" s="357">
        <f t="shared" ca="1" si="377"/>
        <v>1854.6648323467346</v>
      </c>
      <c r="M868" s="359">
        <f t="shared" ca="1" si="393"/>
        <v>-1.3946780831827628</v>
      </c>
      <c r="N868" s="357">
        <f t="shared" ca="1" si="394"/>
        <v>-79.909167945767862</v>
      </c>
      <c r="O868" s="343"/>
      <c r="P868" s="363">
        <f t="shared" ca="1" si="395"/>
        <v>23</v>
      </c>
      <c r="Q868" s="357">
        <f t="shared" ca="1" si="396"/>
        <v>0</v>
      </c>
      <c r="R868" s="359">
        <f t="shared" ca="1" si="397"/>
        <v>0</v>
      </c>
      <c r="S868" s="360">
        <f t="shared" ca="1" si="398"/>
        <v>10.637999999999975</v>
      </c>
      <c r="T868" s="357">
        <f t="shared" ca="1" si="378"/>
        <v>104.35877999999975</v>
      </c>
      <c r="U868" s="364">
        <f t="shared" ca="1" si="379"/>
        <v>0</v>
      </c>
      <c r="V868" s="359">
        <f t="shared" ca="1" si="380"/>
        <v>1.1154632666833559</v>
      </c>
      <c r="W868" s="357">
        <f t="shared" ca="1" si="381"/>
        <v>56.972501470047092</v>
      </c>
      <c r="X868" s="343"/>
      <c r="Y868" s="367" t="str">
        <f t="shared" ca="1" si="399"/>
        <v/>
      </c>
      <c r="Z868" s="368" t="str">
        <f t="shared" ca="1" si="400"/>
        <v/>
      </c>
      <c r="AA868" s="369" t="str">
        <f t="shared" ca="1" si="401"/>
        <v/>
      </c>
      <c r="AB868" s="344"/>
      <c r="AC868" s="363" t="e">
        <f t="shared" ca="1" si="402"/>
        <v>#N/A</v>
      </c>
      <c r="AD868" s="376" t="e">
        <f t="shared" ca="1" si="403"/>
        <v>#N/A</v>
      </c>
      <c r="AE868" s="377" t="e">
        <f t="shared" ca="1" si="382"/>
        <v>#N/A</v>
      </c>
      <c r="AF868" s="344"/>
      <c r="AG868" s="359">
        <f t="shared" ca="1" si="404"/>
        <v>4.3395728595101994</v>
      </c>
      <c r="AH868" s="357">
        <f t="shared" ca="1" si="405"/>
        <v>-5.3166838240196403</v>
      </c>
    </row>
    <row r="869" spans="1:34" x14ac:dyDescent="0.25">
      <c r="A869" s="402">
        <f t="shared" ca="1" si="383"/>
        <v>0.1</v>
      </c>
      <c r="B869" s="357">
        <f t="shared" ca="1" si="384"/>
        <v>41.500000000000256</v>
      </c>
      <c r="C869" s="342"/>
      <c r="D869" s="359">
        <f t="shared" ca="1" si="385"/>
        <v>-0.93834423639947095</v>
      </c>
      <c r="E869" s="360">
        <f t="shared" ca="1" si="386"/>
        <v>-4.5372789216417999</v>
      </c>
      <c r="F869" s="357">
        <f t="shared" ca="1" si="387"/>
        <v>4.6332914778544945</v>
      </c>
      <c r="G869" s="359">
        <f t="shared" ca="1" si="388"/>
        <v>26.109817673266473</v>
      </c>
      <c r="H869" s="360">
        <f t="shared" ca="1" si="389"/>
        <v>-147.69665152483438</v>
      </c>
      <c r="I869" s="357">
        <f t="shared" ca="1" si="390"/>
        <v>149.98674424954885</v>
      </c>
      <c r="J869" s="359">
        <f t="shared" ca="1" si="391"/>
        <v>1603.7517733740381</v>
      </c>
      <c r="K869" s="360">
        <f t="shared" ca="1" si="392"/>
        <v>921.27910527349241</v>
      </c>
      <c r="L869" s="357">
        <f t="shared" ca="1" si="377"/>
        <v>1849.5337089152765</v>
      </c>
      <c r="M869" s="359">
        <f t="shared" ca="1" si="393"/>
        <v>-1.3958240528248604</v>
      </c>
      <c r="N869" s="357">
        <f t="shared" ca="1" si="394"/>
        <v>-79.974827169710181</v>
      </c>
      <c r="O869" s="343"/>
      <c r="P869" s="363">
        <f t="shared" ca="1" si="395"/>
        <v>23</v>
      </c>
      <c r="Q869" s="357">
        <f t="shared" ca="1" si="396"/>
        <v>0</v>
      </c>
      <c r="R869" s="359">
        <f t="shared" ca="1" si="397"/>
        <v>0</v>
      </c>
      <c r="S869" s="360">
        <f t="shared" ca="1" si="398"/>
        <v>10.637999999999975</v>
      </c>
      <c r="T869" s="357">
        <f t="shared" ca="1" si="378"/>
        <v>104.35877999999975</v>
      </c>
      <c r="U869" s="364">
        <f t="shared" ca="1" si="379"/>
        <v>0</v>
      </c>
      <c r="V869" s="359">
        <f t="shared" ca="1" si="380"/>
        <v>1.1171130110371159</v>
      </c>
      <c r="W869" s="357">
        <f t="shared" ca="1" si="381"/>
        <v>57.385610838997678</v>
      </c>
      <c r="X869" s="343"/>
      <c r="Y869" s="367" t="str">
        <f t="shared" ca="1" si="399"/>
        <v/>
      </c>
      <c r="Z869" s="368" t="str">
        <f t="shared" ca="1" si="400"/>
        <v/>
      </c>
      <c r="AA869" s="369" t="str">
        <f t="shared" ca="1" si="401"/>
        <v/>
      </c>
      <c r="AB869" s="344"/>
      <c r="AC869" s="363" t="e">
        <f t="shared" ca="1" si="402"/>
        <v>#N/A</v>
      </c>
      <c r="AD869" s="376" t="e">
        <f t="shared" ca="1" si="403"/>
        <v>#N/A</v>
      </c>
      <c r="AE869" s="377" t="e">
        <f t="shared" ca="1" si="382"/>
        <v>#N/A</v>
      </c>
      <c r="AF869" s="344"/>
      <c r="AG869" s="359">
        <f t="shared" ca="1" si="404"/>
        <v>4.3026862521627587</v>
      </c>
      <c r="AH869" s="357">
        <f t="shared" ca="1" si="405"/>
        <v>-5.3555650940070718</v>
      </c>
    </row>
    <row r="870" spans="1:34" x14ac:dyDescent="0.25">
      <c r="A870" s="402">
        <f t="shared" ca="1" si="383"/>
        <v>0.1</v>
      </c>
      <c r="B870" s="357">
        <f t="shared" ca="1" si="384"/>
        <v>41.600000000000257</v>
      </c>
      <c r="C870" s="342"/>
      <c r="D870" s="359">
        <f t="shared" ca="1" si="385"/>
        <v>-0.93906138842523879</v>
      </c>
      <c r="E870" s="360">
        <f t="shared" ca="1" si="386"/>
        <v>-4.4979666345323031</v>
      </c>
      <c r="F870" s="357">
        <f t="shared" ca="1" si="387"/>
        <v>4.5949472398055882</v>
      </c>
      <c r="G870" s="359">
        <f t="shared" ca="1" si="388"/>
        <v>26.01591153442395</v>
      </c>
      <c r="H870" s="360">
        <f t="shared" ca="1" si="389"/>
        <v>-148.14644818828762</v>
      </c>
      <c r="I870" s="357">
        <f t="shared" ca="1" si="390"/>
        <v>150.41342281781891</v>
      </c>
      <c r="J870" s="359">
        <f t="shared" ca="1" si="391"/>
        <v>1606.3580598344226</v>
      </c>
      <c r="K870" s="360">
        <f t="shared" ca="1" si="392"/>
        <v>906.48695028783629</v>
      </c>
      <c r="L870" s="357">
        <f t="shared" ca="1" si="377"/>
        <v>1844.4795492054536</v>
      </c>
      <c r="M870" s="359">
        <f t="shared" ca="1" si="393"/>
        <v>-1.3969594125061606</v>
      </c>
      <c r="N870" s="357">
        <f t="shared" ca="1" si="394"/>
        <v>-80.039878487677996</v>
      </c>
      <c r="O870" s="343"/>
      <c r="P870" s="363">
        <f t="shared" ca="1" si="395"/>
        <v>23</v>
      </c>
      <c r="Q870" s="357">
        <f t="shared" ca="1" si="396"/>
        <v>0</v>
      </c>
      <c r="R870" s="359">
        <f t="shared" ca="1" si="397"/>
        <v>0</v>
      </c>
      <c r="S870" s="360">
        <f t="shared" ca="1" si="398"/>
        <v>10.637999999999975</v>
      </c>
      <c r="T870" s="357">
        <f t="shared" ca="1" si="378"/>
        <v>104.35877999999975</v>
      </c>
      <c r="U870" s="364">
        <f t="shared" ca="1" si="379"/>
        <v>0</v>
      </c>
      <c r="V870" s="359">
        <f t="shared" ca="1" si="380"/>
        <v>1.1187701473477532</v>
      </c>
      <c r="W870" s="357">
        <f t="shared" ca="1" si="381"/>
        <v>57.7981849628639</v>
      </c>
      <c r="X870" s="343"/>
      <c r="Y870" s="367" t="str">
        <f t="shared" ca="1" si="399"/>
        <v/>
      </c>
      <c r="Z870" s="368" t="str">
        <f t="shared" ca="1" si="400"/>
        <v/>
      </c>
      <c r="AA870" s="369" t="str">
        <f t="shared" ca="1" si="401"/>
        <v/>
      </c>
      <c r="AB870" s="344"/>
      <c r="AC870" s="363" t="e">
        <f t="shared" ca="1" si="402"/>
        <v>#N/A</v>
      </c>
      <c r="AD870" s="376" t="e">
        <f t="shared" ca="1" si="403"/>
        <v>#N/A</v>
      </c>
      <c r="AE870" s="377" t="e">
        <f t="shared" ca="1" si="382"/>
        <v>#N/A</v>
      </c>
      <c r="AF870" s="344"/>
      <c r="AG870" s="359">
        <f t="shared" ca="1" si="404"/>
        <v>4.2658162370038015</v>
      </c>
      <c r="AH870" s="357">
        <f t="shared" ca="1" si="405"/>
        <v>-5.394398462022731</v>
      </c>
    </row>
    <row r="871" spans="1:34" x14ac:dyDescent="0.25">
      <c r="A871" s="402">
        <f t="shared" ca="1" si="383"/>
        <v>0.1</v>
      </c>
      <c r="B871" s="357">
        <f t="shared" ca="1" si="384"/>
        <v>41.700000000000259</v>
      </c>
      <c r="C871" s="342"/>
      <c r="D871" s="359">
        <f t="shared" ca="1" si="385"/>
        <v>-0.9397377375774667</v>
      </c>
      <c r="E871" s="360">
        <f t="shared" ca="1" si="386"/>
        <v>-4.4587053560900216</v>
      </c>
      <c r="F871" s="357">
        <f t="shared" ca="1" si="387"/>
        <v>4.5566611096122855</v>
      </c>
      <c r="G871" s="359">
        <f t="shared" ca="1" si="388"/>
        <v>25.921937760666204</v>
      </c>
      <c r="H871" s="360">
        <f t="shared" ca="1" si="389"/>
        <v>-148.59231872389662</v>
      </c>
      <c r="I871" s="357">
        <f t="shared" ca="1" si="390"/>
        <v>150.83641483743881</v>
      </c>
      <c r="J871" s="359">
        <f t="shared" ca="1" si="391"/>
        <v>1608.9549522991772</v>
      </c>
      <c r="K871" s="360">
        <f t="shared" ca="1" si="392"/>
        <v>891.65001194222714</v>
      </c>
      <c r="L871" s="357">
        <f t="shared" ca="1" si="377"/>
        <v>1839.5042218827934</v>
      </c>
      <c r="M871" s="359">
        <f t="shared" ca="1" si="393"/>
        <v>-1.3980843162199827</v>
      </c>
      <c r="N871" s="357">
        <f t="shared" ca="1" si="394"/>
        <v>-80.104330722838597</v>
      </c>
      <c r="O871" s="343"/>
      <c r="P871" s="363">
        <f t="shared" ca="1" si="395"/>
        <v>23</v>
      </c>
      <c r="Q871" s="357">
        <f t="shared" ca="1" si="396"/>
        <v>0</v>
      </c>
      <c r="R871" s="359">
        <f t="shared" ca="1" si="397"/>
        <v>0</v>
      </c>
      <c r="S871" s="360">
        <f t="shared" ca="1" si="398"/>
        <v>10.637999999999975</v>
      </c>
      <c r="T871" s="357">
        <f t="shared" ca="1" si="378"/>
        <v>104.35877999999975</v>
      </c>
      <c r="U871" s="364">
        <f t="shared" ca="1" si="379"/>
        <v>0</v>
      </c>
      <c r="V871" s="359">
        <f t="shared" ca="1" si="380"/>
        <v>1.1204346579609694</v>
      </c>
      <c r="W871" s="357">
        <f t="shared" ca="1" si="381"/>
        <v>58.210198402032127</v>
      </c>
      <c r="X871" s="343"/>
      <c r="Y871" s="367" t="str">
        <f t="shared" ca="1" si="399"/>
        <v/>
      </c>
      <c r="Z871" s="368" t="str">
        <f t="shared" ca="1" si="400"/>
        <v/>
      </c>
      <c r="AA871" s="369" t="str">
        <f t="shared" ca="1" si="401"/>
        <v/>
      </c>
      <c r="AB871" s="344"/>
      <c r="AC871" s="363" t="e">
        <f t="shared" ca="1" si="402"/>
        <v>#N/A</v>
      </c>
      <c r="AD871" s="376" t="e">
        <f t="shared" ca="1" si="403"/>
        <v>#N/A</v>
      </c>
      <c r="AE871" s="377" t="e">
        <f t="shared" ca="1" si="382"/>
        <v>#N/A</v>
      </c>
      <c r="AF871" s="344"/>
      <c r="AG871" s="359">
        <f t="shared" ca="1" si="404"/>
        <v>4.2289658479941199</v>
      </c>
      <c r="AH871" s="357">
        <f t="shared" ca="1" si="405"/>
        <v>-5.4331815155916559</v>
      </c>
    </row>
    <row r="872" spans="1:34" x14ac:dyDescent="0.25">
      <c r="A872" s="402">
        <f t="shared" ca="1" si="383"/>
        <v>0.1</v>
      </c>
      <c r="B872" s="357">
        <f t="shared" ca="1" si="384"/>
        <v>41.80000000000026</v>
      </c>
      <c r="C872" s="342"/>
      <c r="D872" s="359">
        <f t="shared" ca="1" si="385"/>
        <v>-0.94037344301628645</v>
      </c>
      <c r="E872" s="360">
        <f t="shared" ca="1" si="386"/>
        <v>-4.4194974976680577</v>
      </c>
      <c r="F872" s="357">
        <f t="shared" ca="1" si="387"/>
        <v>4.5184356080644248</v>
      </c>
      <c r="G872" s="359">
        <f t="shared" ca="1" si="388"/>
        <v>25.827900416364574</v>
      </c>
      <c r="H872" s="360">
        <f t="shared" ca="1" si="389"/>
        <v>-149.03426847366342</v>
      </c>
      <c r="I872" s="357">
        <f t="shared" ca="1" si="390"/>
        <v>151.25572260049412</v>
      </c>
      <c r="J872" s="359">
        <f t="shared" ca="1" si="391"/>
        <v>1611.5424442080287</v>
      </c>
      <c r="K872" s="360">
        <f t="shared" ca="1" si="392"/>
        <v>876.76868258234913</v>
      </c>
      <c r="L872" s="357">
        <f t="shared" ca="1" si="377"/>
        <v>1834.6095966829496</v>
      </c>
      <c r="M872" s="359">
        <f t="shared" ca="1" si="393"/>
        <v>-1.3991989149524011</v>
      </c>
      <c r="N872" s="357">
        <f t="shared" ca="1" si="394"/>
        <v>-80.168192526056799</v>
      </c>
      <c r="O872" s="343"/>
      <c r="P872" s="363">
        <f t="shared" ca="1" si="395"/>
        <v>23</v>
      </c>
      <c r="Q872" s="357">
        <f t="shared" ca="1" si="396"/>
        <v>0</v>
      </c>
      <c r="R872" s="359">
        <f t="shared" ca="1" si="397"/>
        <v>0</v>
      </c>
      <c r="S872" s="360">
        <f t="shared" ca="1" si="398"/>
        <v>10.637999999999975</v>
      </c>
      <c r="T872" s="357">
        <f t="shared" ca="1" si="378"/>
        <v>104.35877999999975</v>
      </c>
      <c r="U872" s="364">
        <f t="shared" ca="1" si="379"/>
        <v>0</v>
      </c>
      <c r="V872" s="359">
        <f t="shared" ca="1" si="380"/>
        <v>1.1221065252009566</v>
      </c>
      <c r="W872" s="357">
        <f t="shared" ca="1" si="381"/>
        <v>58.621625943532777</v>
      </c>
      <c r="X872" s="343"/>
      <c r="Y872" s="367" t="str">
        <f t="shared" ca="1" si="399"/>
        <v/>
      </c>
      <c r="Z872" s="368" t="str">
        <f t="shared" ca="1" si="400"/>
        <v/>
      </c>
      <c r="AA872" s="369" t="str">
        <f t="shared" ca="1" si="401"/>
        <v/>
      </c>
      <c r="AB872" s="344"/>
      <c r="AC872" s="363" t="e">
        <f t="shared" ca="1" si="402"/>
        <v>#N/A</v>
      </c>
      <c r="AD872" s="376" t="e">
        <f t="shared" ca="1" si="403"/>
        <v>#N/A</v>
      </c>
      <c r="AE872" s="377" t="e">
        <f t="shared" ca="1" si="382"/>
        <v>#N/A</v>
      </c>
      <c r="AF872" s="344"/>
      <c r="AG872" s="359">
        <f t="shared" ca="1" si="404"/>
        <v>4.1921380827884489</v>
      </c>
      <c r="AH872" s="357">
        <f t="shared" ca="1" si="405"/>
        <v>-5.4719118633232062</v>
      </c>
    </row>
    <row r="873" spans="1:34" x14ac:dyDescent="0.25">
      <c r="A873" s="402">
        <f t="shared" ca="1" si="383"/>
        <v>0.1</v>
      </c>
      <c r="B873" s="357">
        <f t="shared" ca="1" si="384"/>
        <v>41.900000000000261</v>
      </c>
      <c r="C873" s="342"/>
      <c r="D873" s="359">
        <f t="shared" ca="1" si="385"/>
        <v>-0.94096866759751197</v>
      </c>
      <c r="E873" s="360">
        <f t="shared" ca="1" si="386"/>
        <v>-4.3803454492499521</v>
      </c>
      <c r="F873" s="357">
        <f t="shared" ca="1" si="387"/>
        <v>4.4802732381145018</v>
      </c>
      <c r="G873" s="359">
        <f t="shared" ca="1" si="388"/>
        <v>25.733803549604822</v>
      </c>
      <c r="H873" s="360">
        <f t="shared" ca="1" si="389"/>
        <v>-149.47230301858841</v>
      </c>
      <c r="I873" s="357">
        <f t="shared" ca="1" si="390"/>
        <v>151.67134869450581</v>
      </c>
      <c r="J873" s="359">
        <f t="shared" ca="1" si="391"/>
        <v>1614.120529406327</v>
      </c>
      <c r="K873" s="360">
        <f t="shared" ca="1" si="392"/>
        <v>861.84335400773648</v>
      </c>
      <c r="L873" s="357">
        <f t="shared" ca="1" si="377"/>
        <v>1829.7975435272249</v>
      </c>
      <c r="M873" s="359">
        <f t="shared" ca="1" si="393"/>
        <v>-1.4003033567536394</v>
      </c>
      <c r="N873" s="357">
        <f t="shared" ca="1" si="394"/>
        <v>-80.231472379985576</v>
      </c>
      <c r="O873" s="343"/>
      <c r="P873" s="363">
        <f t="shared" ca="1" si="395"/>
        <v>23</v>
      </c>
      <c r="Q873" s="357">
        <f t="shared" ca="1" si="396"/>
        <v>0</v>
      </c>
      <c r="R873" s="359">
        <f t="shared" ca="1" si="397"/>
        <v>0</v>
      </c>
      <c r="S873" s="360">
        <f t="shared" ca="1" si="398"/>
        <v>10.637999999999975</v>
      </c>
      <c r="T873" s="357">
        <f t="shared" ca="1" si="378"/>
        <v>104.35877999999975</v>
      </c>
      <c r="U873" s="364">
        <f t="shared" ca="1" si="379"/>
        <v>0</v>
      </c>
      <c r="V873" s="359">
        <f t="shared" ca="1" si="380"/>
        <v>1.1237857313714654</v>
      </c>
      <c r="W873" s="357">
        <f t="shared" ca="1" si="381"/>
        <v>59.03244260332896</v>
      </c>
      <c r="X873" s="343"/>
      <c r="Y873" s="367" t="str">
        <f t="shared" ca="1" si="399"/>
        <v/>
      </c>
      <c r="Z873" s="368" t="str">
        <f t="shared" ca="1" si="400"/>
        <v/>
      </c>
      <c r="AA873" s="369" t="str">
        <f t="shared" ca="1" si="401"/>
        <v/>
      </c>
      <c r="AB873" s="344"/>
      <c r="AC873" s="363" t="e">
        <f t="shared" ca="1" si="402"/>
        <v>#N/A</v>
      </c>
      <c r="AD873" s="376" t="e">
        <f t="shared" ca="1" si="403"/>
        <v>#N/A</v>
      </c>
      <c r="AE873" s="377" t="e">
        <f t="shared" ca="1" si="382"/>
        <v>#N/A</v>
      </c>
      <c r="AF873" s="344"/>
      <c r="AG873" s="359">
        <f t="shared" ca="1" si="404"/>
        <v>4.1553359029552892</v>
      </c>
      <c r="AH873" s="357">
        <f t="shared" ca="1" si="405"/>
        <v>-5.5105871351318774</v>
      </c>
    </row>
    <row r="874" spans="1:34" x14ac:dyDescent="0.25">
      <c r="A874" s="402">
        <f t="shared" ca="1" si="383"/>
        <v>0.1</v>
      </c>
      <c r="B874" s="357">
        <f t="shared" ca="1" si="384"/>
        <v>42.000000000000263</v>
      </c>
      <c r="C874" s="342"/>
      <c r="D874" s="359">
        <f t="shared" ca="1" si="385"/>
        <v>-0.94152357781527651</v>
      </c>
      <c r="E874" s="360">
        <f t="shared" ca="1" si="386"/>
        <v>-4.3412515792283015</v>
      </c>
      <c r="F874" s="357">
        <f t="shared" ca="1" si="387"/>
        <v>4.4421764847577032</v>
      </c>
      <c r="G874" s="359">
        <f t="shared" ca="1" si="388"/>
        <v>25.639651191823294</v>
      </c>
      <c r="H874" s="360">
        <f t="shared" ca="1" si="389"/>
        <v>-149.90642817651124</v>
      </c>
      <c r="I874" s="357">
        <f t="shared" ca="1" si="390"/>
        <v>152.08329599886335</v>
      </c>
      <c r="J874" s="359">
        <f t="shared" ca="1" si="391"/>
        <v>1616.6892021433985</v>
      </c>
      <c r="K874" s="360">
        <f t="shared" ca="1" si="392"/>
        <v>846.8744174479815</v>
      </c>
      <c r="L874" s="357">
        <f t="shared" ca="1" si="377"/>
        <v>1825.0699316067087</v>
      </c>
      <c r="M874" s="359">
        <f t="shared" ca="1" si="393"/>
        <v>-1.4013977868074758</v>
      </c>
      <c r="N874" s="357">
        <f t="shared" ca="1" si="394"/>
        <v>-80.294178603042681</v>
      </c>
      <c r="O874" s="343"/>
      <c r="P874" s="363">
        <f t="shared" ca="1" si="395"/>
        <v>23</v>
      </c>
      <c r="Q874" s="357">
        <f t="shared" ca="1" si="396"/>
        <v>0</v>
      </c>
      <c r="R874" s="359">
        <f t="shared" ca="1" si="397"/>
        <v>0</v>
      </c>
      <c r="S874" s="360">
        <f t="shared" ca="1" si="398"/>
        <v>10.637999999999975</v>
      </c>
      <c r="T874" s="357">
        <f t="shared" ca="1" si="378"/>
        <v>104.35877999999975</v>
      </c>
      <c r="U874" s="364">
        <f t="shared" ca="1" si="379"/>
        <v>0</v>
      </c>
      <c r="V874" s="359">
        <f t="shared" ca="1" si="380"/>
        <v>1.1254722587568815</v>
      </c>
      <c r="W874" s="357">
        <f t="shared" ca="1" si="381"/>
        <v>59.442623628546059</v>
      </c>
      <c r="X874" s="343"/>
      <c r="Y874" s="367" t="str">
        <f t="shared" ca="1" si="399"/>
        <v/>
      </c>
      <c r="Z874" s="368" t="str">
        <f t="shared" ca="1" si="400"/>
        <v/>
      </c>
      <c r="AA874" s="369" t="str">
        <f t="shared" ca="1" si="401"/>
        <v/>
      </c>
      <c r="AB874" s="344"/>
      <c r="AC874" s="363">
        <f t="shared" ca="1" si="402"/>
        <v>42.000000000000263</v>
      </c>
      <c r="AD874" s="376">
        <f t="shared" ca="1" si="403"/>
        <v>1616.6892021433985</v>
      </c>
      <c r="AE874" s="377" t="e">
        <f t="shared" ca="1" si="382"/>
        <v>#N/A</v>
      </c>
      <c r="AF874" s="344"/>
      <c r="AG874" s="359">
        <f t="shared" ca="1" si="404"/>
        <v>4.1185622341877863</v>
      </c>
      <c r="AH874" s="357">
        <f t="shared" ca="1" si="405"/>
        <v>-5.5492049824524443</v>
      </c>
    </row>
    <row r="875" spans="1:34" x14ac:dyDescent="0.25">
      <c r="A875" s="402">
        <f t="shared" ca="1" si="383"/>
        <v>0.1</v>
      </c>
      <c r="B875" s="357">
        <f t="shared" ca="1" si="384"/>
        <v>42.100000000000264</v>
      </c>
      <c r="C875" s="342"/>
      <c r="D875" s="359">
        <f t="shared" ca="1" si="385"/>
        <v>-0.94203834374463846</v>
      </c>
      <c r="E875" s="360">
        <f t="shared" ca="1" si="386"/>
        <v>-4.3022182341891284</v>
      </c>
      <c r="F875" s="357">
        <f t="shared" ca="1" si="387"/>
        <v>4.4041478149211297</v>
      </c>
      <c r="G875" s="359">
        <f t="shared" ca="1" si="388"/>
        <v>25.545447357448829</v>
      </c>
      <c r="H875" s="360">
        <f t="shared" ca="1" si="389"/>
        <v>-150.33664999993016</v>
      </c>
      <c r="I875" s="357">
        <f t="shared" ca="1" si="390"/>
        <v>152.49156768127767</v>
      </c>
      <c r="J875" s="359">
        <f t="shared" ca="1" si="391"/>
        <v>1619.2484570708621</v>
      </c>
      <c r="K875" s="360">
        <f t="shared" ca="1" si="392"/>
        <v>831.86226353915947</v>
      </c>
      <c r="L875" s="357">
        <f t="shared" ca="1" si="377"/>
        <v>1820.4286284353093</v>
      </c>
      <c r="M875" s="359">
        <f t="shared" ca="1" si="393"/>
        <v>-1.402482347498722</v>
      </c>
      <c r="N875" s="357">
        <f t="shared" ca="1" si="394"/>
        <v>-80.356319353276874</v>
      </c>
      <c r="O875" s="343"/>
      <c r="P875" s="363">
        <f t="shared" ca="1" si="395"/>
        <v>23</v>
      </c>
      <c r="Q875" s="357">
        <f t="shared" ca="1" si="396"/>
        <v>0</v>
      </c>
      <c r="R875" s="359">
        <f t="shared" ca="1" si="397"/>
        <v>0</v>
      </c>
      <c r="S875" s="360">
        <f t="shared" ca="1" si="398"/>
        <v>10.637999999999975</v>
      </c>
      <c r="T875" s="357">
        <f t="shared" ca="1" si="378"/>
        <v>104.35877999999975</v>
      </c>
      <c r="U875" s="364">
        <f t="shared" ca="1" si="379"/>
        <v>0</v>
      </c>
      <c r="V875" s="359">
        <f t="shared" ca="1" si="380"/>
        <v>1.1271660896232958</v>
      </c>
      <c r="W875" s="357">
        <f t="shared" ca="1" si="381"/>
        <v>59.852144499641128</v>
      </c>
      <c r="X875" s="343"/>
      <c r="Y875" s="367" t="str">
        <f t="shared" ca="1" si="399"/>
        <v/>
      </c>
      <c r="Z875" s="368" t="str">
        <f t="shared" ca="1" si="400"/>
        <v/>
      </c>
      <c r="AA875" s="369" t="str">
        <f t="shared" ca="1" si="401"/>
        <v/>
      </c>
      <c r="AB875" s="344"/>
      <c r="AC875" s="363" t="e">
        <f t="shared" ca="1" si="402"/>
        <v>#N/A</v>
      </c>
      <c r="AD875" s="376" t="e">
        <f t="shared" ca="1" si="403"/>
        <v>#N/A</v>
      </c>
      <c r="AE875" s="377" t="e">
        <f t="shared" ca="1" si="382"/>
        <v>#N/A</v>
      </c>
      <c r="AF875" s="344"/>
      <c r="AG875" s="359">
        <f t="shared" ca="1" si="404"/>
        <v>4.0818199665060764</v>
      </c>
      <c r="AH875" s="357">
        <f t="shared" ca="1" si="405"/>
        <v>-5.5877630784495391</v>
      </c>
    </row>
    <row r="876" spans="1:34" x14ac:dyDescent="0.25">
      <c r="A876" s="402">
        <f t="shared" ca="1" si="383"/>
        <v>0.1</v>
      </c>
      <c r="B876" s="357">
        <f t="shared" ca="1" si="384"/>
        <v>42.200000000000266</v>
      </c>
      <c r="C876" s="342"/>
      <c r="D876" s="359">
        <f t="shared" ca="1" si="385"/>
        <v>-0.94251313898415667</v>
      </c>
      <c r="E876" s="360">
        <f t="shared" ca="1" si="386"/>
        <v>-4.2632477387020611</v>
      </c>
      <c r="F876" s="357">
        <f t="shared" ca="1" si="387"/>
        <v>4.3661896773624029</v>
      </c>
      <c r="G876" s="359">
        <f t="shared" ca="1" si="388"/>
        <v>25.451196043550414</v>
      </c>
      <c r="H876" s="360">
        <f t="shared" ca="1" si="389"/>
        <v>-150.76297477380035</v>
      </c>
      <c r="I876" s="357">
        <f t="shared" ca="1" si="390"/>
        <v>152.89616719425246</v>
      </c>
      <c r="J876" s="359">
        <f t="shared" ca="1" si="391"/>
        <v>1621.798289240912</v>
      </c>
      <c r="K876" s="360">
        <f t="shared" ca="1" si="392"/>
        <v>816.80728230047293</v>
      </c>
      <c r="L876" s="357">
        <f t="shared" ca="1" si="377"/>
        <v>1815.8754988720545</v>
      </c>
      <c r="M876" s="359">
        <f t="shared" ca="1" si="393"/>
        <v>-1.4035571784788379</v>
      </c>
      <c r="N876" s="357">
        <f t="shared" ca="1" si="394"/>
        <v>-80.417902632127422</v>
      </c>
      <c r="O876" s="343"/>
      <c r="P876" s="363">
        <f t="shared" ca="1" si="395"/>
        <v>23</v>
      </c>
      <c r="Q876" s="357">
        <f t="shared" ca="1" si="396"/>
        <v>0</v>
      </c>
      <c r="R876" s="359">
        <f t="shared" ca="1" si="397"/>
        <v>0</v>
      </c>
      <c r="S876" s="360">
        <f t="shared" ca="1" si="398"/>
        <v>10.637999999999975</v>
      </c>
      <c r="T876" s="357">
        <f t="shared" ca="1" si="378"/>
        <v>104.35877999999975</v>
      </c>
      <c r="U876" s="364">
        <f t="shared" ca="1" si="379"/>
        <v>0</v>
      </c>
      <c r="V876" s="359">
        <f t="shared" ca="1" si="380"/>
        <v>1.128867206219579</v>
      </c>
      <c r="W876" s="357">
        <f t="shared" ca="1" si="381"/>
        <v>60.260980932512012</v>
      </c>
      <c r="X876" s="343"/>
      <c r="Y876" s="367" t="str">
        <f t="shared" ca="1" si="399"/>
        <v/>
      </c>
      <c r="Z876" s="368" t="str">
        <f t="shared" ca="1" si="400"/>
        <v/>
      </c>
      <c r="AA876" s="369" t="str">
        <f t="shared" ca="1" si="401"/>
        <v/>
      </c>
      <c r="AB876" s="344"/>
      <c r="AC876" s="363" t="e">
        <f t="shared" ca="1" si="402"/>
        <v>#N/A</v>
      </c>
      <c r="AD876" s="376" t="e">
        <f t="shared" ca="1" si="403"/>
        <v>#N/A</v>
      </c>
      <c r="AE876" s="377" t="e">
        <f t="shared" ca="1" si="382"/>
        <v>#N/A</v>
      </c>
      <c r="AF876" s="344"/>
      <c r="AG876" s="359">
        <f t="shared" ca="1" si="404"/>
        <v>4.0451119544517313</v>
      </c>
      <c r="AH876" s="357">
        <f t="shared" ca="1" si="405"/>
        <v>-5.6262591182215891</v>
      </c>
    </row>
    <row r="877" spans="1:34" x14ac:dyDescent="0.25">
      <c r="A877" s="402">
        <f t="shared" ca="1" si="383"/>
        <v>0.1</v>
      </c>
      <c r="B877" s="357">
        <f t="shared" ca="1" si="384"/>
        <v>42.300000000000267</v>
      </c>
      <c r="C877" s="342"/>
      <c r="D877" s="359">
        <f t="shared" ca="1" si="385"/>
        <v>-0.94294814059842058</v>
      </c>
      <c r="E877" s="360">
        <f t="shared" ca="1" si="386"/>
        <v>-4.2243423951163663</v>
      </c>
      <c r="F877" s="357">
        <f t="shared" ca="1" si="387"/>
        <v>4.3283045025778284</v>
      </c>
      <c r="G877" s="359">
        <f t="shared" ca="1" si="388"/>
        <v>25.356901229490571</v>
      </c>
      <c r="H877" s="360">
        <f t="shared" ca="1" si="389"/>
        <v>-151.18540901331198</v>
      </c>
      <c r="I877" s="357">
        <f t="shared" ca="1" si="390"/>
        <v>153.29709827157387</v>
      </c>
      <c r="J877" s="359">
        <f t="shared" ca="1" si="391"/>
        <v>1624.3386941045642</v>
      </c>
      <c r="K877" s="360">
        <f t="shared" ca="1" si="392"/>
        <v>801.70986311111733</v>
      </c>
      <c r="L877" s="357">
        <f t="shared" ca="1" si="377"/>
        <v>1811.4124041131461</v>
      </c>
      <c r="M877" s="359">
        <f t="shared" ca="1" si="393"/>
        <v>-1.4046224167297408</v>
      </c>
      <c r="N877" s="357">
        <f t="shared" ca="1" si="394"/>
        <v>-80.478936288080064</v>
      </c>
      <c r="O877" s="343"/>
      <c r="P877" s="363">
        <f t="shared" ca="1" si="395"/>
        <v>23</v>
      </c>
      <c r="Q877" s="357">
        <f t="shared" ca="1" si="396"/>
        <v>0</v>
      </c>
      <c r="R877" s="359">
        <f t="shared" ca="1" si="397"/>
        <v>0</v>
      </c>
      <c r="S877" s="360">
        <f t="shared" ca="1" si="398"/>
        <v>10.637999999999975</v>
      </c>
      <c r="T877" s="357">
        <f t="shared" ca="1" si="378"/>
        <v>104.35877999999975</v>
      </c>
      <c r="U877" s="364">
        <f t="shared" ca="1" si="379"/>
        <v>0</v>
      </c>
      <c r="V877" s="359">
        <f t="shared" ca="1" si="380"/>
        <v>1.1305755907784558</v>
      </c>
      <c r="W877" s="357">
        <f t="shared" ca="1" si="381"/>
        <v>60.669108880546318</v>
      </c>
      <c r="X877" s="343"/>
      <c r="Y877" s="367" t="str">
        <f t="shared" ca="1" si="399"/>
        <v/>
      </c>
      <c r="Z877" s="368" t="str">
        <f t="shared" ca="1" si="400"/>
        <v/>
      </c>
      <c r="AA877" s="369" t="str">
        <f t="shared" ca="1" si="401"/>
        <v/>
      </c>
      <c r="AB877" s="344"/>
      <c r="AC877" s="363" t="e">
        <f t="shared" ca="1" si="402"/>
        <v>#N/A</v>
      </c>
      <c r="AD877" s="376" t="e">
        <f t="shared" ca="1" si="403"/>
        <v>#N/A</v>
      </c>
      <c r="AE877" s="377" t="e">
        <f t="shared" ca="1" si="382"/>
        <v>#N/A</v>
      </c>
      <c r="AF877" s="344"/>
      <c r="AG877" s="359">
        <f t="shared" ca="1" si="404"/>
        <v>4.0084410172748326</v>
      </c>
      <c r="AH877" s="357">
        <f t="shared" ca="1" si="405"/>
        <v>-5.6646908189990741</v>
      </c>
    </row>
    <row r="878" spans="1:34" x14ac:dyDescent="0.25">
      <c r="A878" s="402">
        <f t="shared" ca="1" si="383"/>
        <v>0.1</v>
      </c>
      <c r="B878" s="357">
        <f t="shared" ca="1" si="384"/>
        <v>42.400000000000269</v>
      </c>
      <c r="C878" s="342"/>
      <c r="D878" s="359">
        <f t="shared" ca="1" si="385"/>
        <v>-0.94334352906056229</v>
      </c>
      <c r="E878" s="360">
        <f t="shared" ca="1" si="386"/>
        <v>-4.1855044833627941</v>
      </c>
      <c r="F878" s="357">
        <f t="shared" ca="1" si="387"/>
        <v>4.2904947027202454</v>
      </c>
      <c r="G878" s="359">
        <f t="shared" ca="1" si="388"/>
        <v>25.262566876584515</v>
      </c>
      <c r="H878" s="360">
        <f t="shared" ca="1" si="389"/>
        <v>-151.60395946164826</v>
      </c>
      <c r="I878" s="357">
        <f t="shared" ca="1" si="390"/>
        <v>153.69436492481756</v>
      </c>
      <c r="J878" s="359">
        <f t="shared" ca="1" si="391"/>
        <v>1626.8696675098679</v>
      </c>
      <c r="K878" s="360">
        <f t="shared" ca="1" si="392"/>
        <v>786.57039468736934</v>
      </c>
      <c r="L878" s="357">
        <f t="shared" ca="1" si="377"/>
        <v>1807.0412006543493</v>
      </c>
      <c r="M878" s="359">
        <f t="shared" ca="1" si="393"/>
        <v>-1.4056781966258654</v>
      </c>
      <c r="N878" s="357">
        <f t="shared" ca="1" si="394"/>
        <v>-80.539428020222758</v>
      </c>
      <c r="O878" s="343"/>
      <c r="P878" s="363">
        <f t="shared" ca="1" si="395"/>
        <v>23</v>
      </c>
      <c r="Q878" s="357">
        <f t="shared" ca="1" si="396"/>
        <v>0</v>
      </c>
      <c r="R878" s="359">
        <f t="shared" ca="1" si="397"/>
        <v>0</v>
      </c>
      <c r="S878" s="360">
        <f t="shared" ca="1" si="398"/>
        <v>10.637999999999975</v>
      </c>
      <c r="T878" s="357">
        <f t="shared" ca="1" si="378"/>
        <v>104.35877999999975</v>
      </c>
      <c r="U878" s="364">
        <f t="shared" ca="1" si="379"/>
        <v>0</v>
      </c>
      <c r="V878" s="359">
        <f t="shared" ca="1" si="380"/>
        <v>1.1322912255175783</v>
      </c>
      <c r="W878" s="357">
        <f t="shared" ca="1" si="381"/>
        <v>61.076504536609519</v>
      </c>
      <c r="X878" s="343"/>
      <c r="Y878" s="367" t="str">
        <f t="shared" ca="1" si="399"/>
        <v/>
      </c>
      <c r="Z878" s="368" t="str">
        <f t="shared" ca="1" si="400"/>
        <v/>
      </c>
      <c r="AA878" s="369" t="str">
        <f t="shared" ca="1" si="401"/>
        <v/>
      </c>
      <c r="AB878" s="344"/>
      <c r="AC878" s="363" t="e">
        <f t="shared" ca="1" si="402"/>
        <v>#N/A</v>
      </c>
      <c r="AD878" s="376" t="e">
        <f t="shared" ca="1" si="403"/>
        <v>#N/A</v>
      </c>
      <c r="AE878" s="377" t="e">
        <f t="shared" ca="1" si="382"/>
        <v>#N/A</v>
      </c>
      <c r="AF878" s="344"/>
      <c r="AG878" s="359">
        <f t="shared" ca="1" si="404"/>
        <v>3.9718099391140953</v>
      </c>
      <c r="AH878" s="357">
        <f t="shared" ca="1" si="405"/>
        <v>-5.7030559203371372</v>
      </c>
    </row>
    <row r="879" spans="1:34" x14ac:dyDescent="0.25">
      <c r="A879" s="402">
        <f t="shared" ca="1" si="383"/>
        <v>0.1</v>
      </c>
      <c r="B879" s="357">
        <f t="shared" ca="1" si="384"/>
        <v>42.50000000000027</v>
      </c>
      <c r="C879" s="342"/>
      <c r="D879" s="359">
        <f t="shared" ca="1" si="385"/>
        <v>-0.94369948819473781</v>
      </c>
      <c r="E879" s="360">
        <f t="shared" ca="1" si="386"/>
        <v>-4.1467362607613172</v>
      </c>
      <c r="F879" s="357">
        <f t="shared" ca="1" si="387"/>
        <v>4.2527626715267992</v>
      </c>
      <c r="G879" s="359">
        <f t="shared" ca="1" si="388"/>
        <v>25.168196927765042</v>
      </c>
      <c r="H879" s="360">
        <f t="shared" ca="1" si="389"/>
        <v>-152.0186330877244</v>
      </c>
      <c r="I879" s="357">
        <f t="shared" ca="1" si="390"/>
        <v>154.0879714398724</v>
      </c>
      <c r="J879" s="359">
        <f t="shared" ca="1" si="391"/>
        <v>1629.3912057000853</v>
      </c>
      <c r="K879" s="360">
        <f t="shared" ca="1" si="392"/>
        <v>771.38926505990071</v>
      </c>
      <c r="L879" s="357">
        <f t="shared" ca="1" si="377"/>
        <v>1802.7637392244253</v>
      </c>
      <c r="M879" s="359">
        <f t="shared" ca="1" si="393"/>
        <v>-1.4067246499945283</v>
      </c>
      <c r="N879" s="357">
        <f t="shared" ca="1" si="394"/>
        <v>-80.599385381704394</v>
      </c>
      <c r="O879" s="343"/>
      <c r="P879" s="363">
        <f t="shared" ca="1" si="395"/>
        <v>23</v>
      </c>
      <c r="Q879" s="357">
        <f t="shared" ca="1" si="396"/>
        <v>0</v>
      </c>
      <c r="R879" s="359">
        <f t="shared" ca="1" si="397"/>
        <v>0</v>
      </c>
      <c r="S879" s="360">
        <f t="shared" ca="1" si="398"/>
        <v>10.637999999999975</v>
      </c>
      <c r="T879" s="357">
        <f t="shared" ca="1" si="378"/>
        <v>104.35877999999975</v>
      </c>
      <c r="U879" s="364">
        <f t="shared" ca="1" si="379"/>
        <v>0</v>
      </c>
      <c r="V879" s="359">
        <f t="shared" ca="1" si="380"/>
        <v>1.134014092640601</v>
      </c>
      <c r="W879" s="357">
        <f t="shared" ca="1" si="381"/>
        <v>61.483144334972408</v>
      </c>
      <c r="X879" s="343"/>
      <c r="Y879" s="367" t="str">
        <f t="shared" ca="1" si="399"/>
        <v/>
      </c>
      <c r="Z879" s="368" t="str">
        <f t="shared" ca="1" si="400"/>
        <v/>
      </c>
      <c r="AA879" s="369" t="str">
        <f t="shared" ca="1" si="401"/>
        <v/>
      </c>
      <c r="AB879" s="344"/>
      <c r="AC879" s="363" t="e">
        <f t="shared" ca="1" si="402"/>
        <v>#N/A</v>
      </c>
      <c r="AD879" s="376" t="e">
        <f t="shared" ca="1" si="403"/>
        <v>#N/A</v>
      </c>
      <c r="AE879" s="377" t="e">
        <f t="shared" ca="1" si="382"/>
        <v>#N/A</v>
      </c>
      <c r="AF879" s="344"/>
      <c r="AG879" s="359">
        <f t="shared" ca="1" si="404"/>
        <v>3.9352214691706289</v>
      </c>
      <c r="AH879" s="357">
        <f t="shared" ca="1" si="405"/>
        <v>-5.7413521843024684</v>
      </c>
    </row>
    <row r="880" spans="1:34" x14ac:dyDescent="0.25">
      <c r="A880" s="402">
        <f t="shared" ca="1" si="383"/>
        <v>0.1</v>
      </c>
      <c r="B880" s="357">
        <f t="shared" ca="1" si="384"/>
        <v>42.600000000000271</v>
      </c>
      <c r="C880" s="342"/>
      <c r="D880" s="359">
        <f t="shared" ca="1" si="385"/>
        <v>-0.94401620511860185</v>
      </c>
      <c r="E880" s="360">
        <f t="shared" ca="1" si="386"/>
        <v>-4.1080399618347112</v>
      </c>
      <c r="F880" s="357">
        <f t="shared" ca="1" si="387"/>
        <v>4.2151107842567397</v>
      </c>
      <c r="G880" s="359">
        <f t="shared" ca="1" si="388"/>
        <v>25.073795307253182</v>
      </c>
      <c r="H880" s="360">
        <f t="shared" ca="1" si="389"/>
        <v>-152.42943708390786</v>
      </c>
      <c r="I880" s="357">
        <f t="shared" ca="1" si="390"/>
        <v>154.47792237348045</v>
      </c>
      <c r="J880" s="359">
        <f t="shared" ca="1" si="391"/>
        <v>1631.9033053118362</v>
      </c>
      <c r="K880" s="360">
        <f t="shared" ca="1" si="392"/>
        <v>756.16686155131913</v>
      </c>
      <c r="L880" s="357">
        <f t="shared" ca="1" si="377"/>
        <v>1798.5818636904098</v>
      </c>
      <c r="M880" s="359">
        <f t="shared" ca="1" si="393"/>
        <v>-1.4077619061746542</v>
      </c>
      <c r="N880" s="357">
        <f t="shared" ca="1" si="394"/>
        <v>-80.65881578309947</v>
      </c>
      <c r="O880" s="343"/>
      <c r="P880" s="363">
        <f t="shared" ca="1" si="395"/>
        <v>23</v>
      </c>
      <c r="Q880" s="357">
        <f t="shared" ca="1" si="396"/>
        <v>0</v>
      </c>
      <c r="R880" s="359">
        <f t="shared" ca="1" si="397"/>
        <v>0</v>
      </c>
      <c r="S880" s="360">
        <f t="shared" ca="1" si="398"/>
        <v>10.637999999999975</v>
      </c>
      <c r="T880" s="357">
        <f t="shared" ca="1" si="378"/>
        <v>104.35877999999975</v>
      </c>
      <c r="U880" s="364">
        <f t="shared" ca="1" si="379"/>
        <v>0</v>
      </c>
      <c r="V880" s="359">
        <f t="shared" ca="1" si="380"/>
        <v>1.1357441743382541</v>
      </c>
      <c r="W880" s="357">
        <f t="shared" ca="1" si="381"/>
        <v>61.889004953177434</v>
      </c>
      <c r="X880" s="343"/>
      <c r="Y880" s="367" t="str">
        <f t="shared" ca="1" si="399"/>
        <v/>
      </c>
      <c r="Z880" s="368" t="str">
        <f t="shared" ca="1" si="400"/>
        <v/>
      </c>
      <c r="AA880" s="369" t="str">
        <f t="shared" ca="1" si="401"/>
        <v/>
      </c>
      <c r="AB880" s="344"/>
      <c r="AC880" s="363" t="e">
        <f t="shared" ca="1" si="402"/>
        <v>#N/A</v>
      </c>
      <c r="AD880" s="376" t="e">
        <f t="shared" ca="1" si="403"/>
        <v>#N/A</v>
      </c>
      <c r="AE880" s="377" t="e">
        <f t="shared" ca="1" si="382"/>
        <v>#N/A</v>
      </c>
      <c r="AF880" s="344"/>
      <c r="AG880" s="359">
        <f t="shared" ca="1" si="404"/>
        <v>3.8986783218757077</v>
      </c>
      <c r="AH880" s="357">
        <f t="shared" ca="1" si="405"/>
        <v>-5.7795773956544982</v>
      </c>
    </row>
    <row r="881" spans="1:34" x14ac:dyDescent="0.25">
      <c r="A881" s="402">
        <f t="shared" ca="1" si="383"/>
        <v>0.1</v>
      </c>
      <c r="B881" s="357">
        <f t="shared" ca="1" si="384"/>
        <v>42.700000000000273</v>
      </c>
      <c r="C881" s="342"/>
      <c r="D881" s="359">
        <f t="shared" ca="1" si="385"/>
        <v>-0.94429387018574507</v>
      </c>
      <c r="E881" s="360">
        <f t="shared" ca="1" si="386"/>
        <v>-4.0694177981280584</v>
      </c>
      <c r="F881" s="357">
        <f t="shared" ca="1" si="387"/>
        <v>4.1775413976395006</v>
      </c>
      <c r="G881" s="359">
        <f t="shared" ca="1" si="388"/>
        <v>24.979365920234606</v>
      </c>
      <c r="H881" s="360">
        <f t="shared" ca="1" si="389"/>
        <v>-152.83637886372065</v>
      </c>
      <c r="I881" s="357">
        <f t="shared" ca="1" si="390"/>
        <v>154.86422254979274</v>
      </c>
      <c r="J881" s="359">
        <f t="shared" ca="1" si="391"/>
        <v>1634.4059633732106</v>
      </c>
      <c r="K881" s="360">
        <f t="shared" ca="1" si="392"/>
        <v>740.90357075393774</v>
      </c>
      <c r="L881" s="357">
        <f t="shared" ca="1" si="377"/>
        <v>1794.4974099356755</v>
      </c>
      <c r="M881" s="359">
        <f t="shared" ca="1" si="393"/>
        <v>-1.4087900920739087</v>
      </c>
      <c r="N881" s="357">
        <f t="shared" ca="1" si="394"/>
        <v>-80.717726495681617</v>
      </c>
      <c r="O881" s="343"/>
      <c r="P881" s="363">
        <f t="shared" ca="1" si="395"/>
        <v>23</v>
      </c>
      <c r="Q881" s="357">
        <f t="shared" ca="1" si="396"/>
        <v>0</v>
      </c>
      <c r="R881" s="359">
        <f t="shared" ca="1" si="397"/>
        <v>0</v>
      </c>
      <c r="S881" s="360">
        <f t="shared" ca="1" si="398"/>
        <v>10.637999999999975</v>
      </c>
      <c r="T881" s="357">
        <f t="shared" ca="1" si="378"/>
        <v>104.35877999999975</v>
      </c>
      <c r="U881" s="364">
        <f t="shared" ca="1" si="379"/>
        <v>0</v>
      </c>
      <c r="V881" s="359">
        <f t="shared" ca="1" si="380"/>
        <v>1.1374814527894186</v>
      </c>
      <c r="W881" s="357">
        <f t="shared" ca="1" si="381"/>
        <v>62.294063313844347</v>
      </c>
      <c r="X881" s="343"/>
      <c r="Y881" s="367" t="str">
        <f t="shared" ca="1" si="399"/>
        <v/>
      </c>
      <c r="Z881" s="368" t="str">
        <f t="shared" ca="1" si="400"/>
        <v/>
      </c>
      <c r="AA881" s="369" t="str">
        <f t="shared" ca="1" si="401"/>
        <v/>
      </c>
      <c r="AB881" s="344"/>
      <c r="AC881" s="363" t="e">
        <f t="shared" ca="1" si="402"/>
        <v>#N/A</v>
      </c>
      <c r="AD881" s="376" t="e">
        <f t="shared" ca="1" si="403"/>
        <v>#N/A</v>
      </c>
      <c r="AE881" s="377" t="e">
        <f t="shared" ca="1" si="382"/>
        <v>#N/A</v>
      </c>
      <c r="AF881" s="344"/>
      <c r="AG881" s="359">
        <f t="shared" ca="1" si="404"/>
        <v>3.8621831770530566</v>
      </c>
      <c r="AH881" s="357">
        <f t="shared" ca="1" si="405"/>
        <v>-5.8177293620208292</v>
      </c>
    </row>
    <row r="882" spans="1:34" x14ac:dyDescent="0.25">
      <c r="A882" s="402">
        <f t="shared" ca="1" si="383"/>
        <v>0.1</v>
      </c>
      <c r="B882" s="357">
        <f t="shared" ca="1" si="384"/>
        <v>42.800000000000274</v>
      </c>
      <c r="C882" s="342"/>
      <c r="D882" s="359">
        <f t="shared" ca="1" si="385"/>
        <v>-0.94453267692815257</v>
      </c>
      <c r="E882" s="360">
        <f t="shared" ca="1" si="386"/>
        <v>-4.0308719580340924</v>
      </c>
      <c r="F882" s="357">
        <f t="shared" ca="1" si="387"/>
        <v>4.1400568498331829</v>
      </c>
      <c r="G882" s="359">
        <f t="shared" ca="1" si="388"/>
        <v>24.884912652541789</v>
      </c>
      <c r="H882" s="360">
        <f t="shared" ca="1" si="389"/>
        <v>-153.23946605952406</v>
      </c>
      <c r="I882" s="357">
        <f t="shared" ca="1" si="390"/>
        <v>155.24687705694006</v>
      </c>
      <c r="J882" s="359">
        <f t="shared" ca="1" si="391"/>
        <v>1636.8991773018495</v>
      </c>
      <c r="K882" s="360">
        <f t="shared" ca="1" si="392"/>
        <v>725.59977850777545</v>
      </c>
      <c r="L882" s="357">
        <f t="shared" ca="1" si="377"/>
        <v>1790.5122047118261</v>
      </c>
      <c r="M882" s="359">
        <f t="shared" ca="1" si="393"/>
        <v>-1.4098093322242913</v>
      </c>
      <c r="N882" s="357">
        <f t="shared" ca="1" si="394"/>
        <v>-80.776124654608822</v>
      </c>
      <c r="O882" s="343"/>
      <c r="P882" s="363">
        <f t="shared" ca="1" si="395"/>
        <v>23</v>
      </c>
      <c r="Q882" s="357">
        <f t="shared" ca="1" si="396"/>
        <v>0</v>
      </c>
      <c r="R882" s="359">
        <f t="shared" ca="1" si="397"/>
        <v>0</v>
      </c>
      <c r="S882" s="360">
        <f t="shared" ca="1" si="398"/>
        <v>10.637999999999975</v>
      </c>
      <c r="T882" s="357">
        <f t="shared" ca="1" si="378"/>
        <v>104.35877999999975</v>
      </c>
      <c r="U882" s="364">
        <f t="shared" ca="1" si="379"/>
        <v>0</v>
      </c>
      <c r="V882" s="359">
        <f t="shared" ca="1" si="380"/>
        <v>1.1392259101621984</v>
      </c>
      <c r="W882" s="357">
        <f t="shared" ca="1" si="381"/>
        <v>62.698296586414166</v>
      </c>
      <c r="X882" s="343"/>
      <c r="Y882" s="367" t="str">
        <f t="shared" ca="1" si="399"/>
        <v/>
      </c>
      <c r="Z882" s="368" t="str">
        <f t="shared" ca="1" si="400"/>
        <v/>
      </c>
      <c r="AA882" s="369" t="str">
        <f t="shared" ca="1" si="401"/>
        <v/>
      </c>
      <c r="AB882" s="344"/>
      <c r="AC882" s="363" t="e">
        <f t="shared" ca="1" si="402"/>
        <v>#N/A</v>
      </c>
      <c r="AD882" s="376" t="e">
        <f t="shared" ca="1" si="403"/>
        <v>#N/A</v>
      </c>
      <c r="AE882" s="377" t="e">
        <f t="shared" ca="1" si="382"/>
        <v>#N/A</v>
      </c>
      <c r="AF882" s="344"/>
      <c r="AG882" s="359">
        <f t="shared" ca="1" si="404"/>
        <v>3.8257386800759923</v>
      </c>
      <c r="AH882" s="357">
        <f t="shared" ca="1" si="405"/>
        <v>-5.855805914066976</v>
      </c>
    </row>
    <row r="883" spans="1:34" x14ac:dyDescent="0.25">
      <c r="A883" s="402">
        <f t="shared" ca="1" si="383"/>
        <v>0.1</v>
      </c>
      <c r="B883" s="357">
        <f t="shared" ca="1" si="384"/>
        <v>42.900000000000276</v>
      </c>
      <c r="C883" s="342"/>
      <c r="D883" s="359">
        <f t="shared" ca="1" si="385"/>
        <v>-0.9447328219986405</v>
      </c>
      <c r="E883" s="360">
        <f t="shared" ca="1" si="386"/>
        <v>-3.9924046066244907</v>
      </c>
      <c r="F883" s="357">
        <f t="shared" ca="1" si="387"/>
        <v>4.1026594603937054</v>
      </c>
      <c r="G883" s="359">
        <f t="shared" ca="1" si="388"/>
        <v>24.790439370341925</v>
      </c>
      <c r="H883" s="360">
        <f t="shared" ca="1" si="389"/>
        <v>-153.6387065201865</v>
      </c>
      <c r="I883" s="357">
        <f t="shared" ca="1" si="390"/>
        <v>155.62589124361858</v>
      </c>
      <c r="J883" s="359">
        <f t="shared" ca="1" si="391"/>
        <v>1639.3829449029936</v>
      </c>
      <c r="K883" s="360">
        <f t="shared" ca="1" si="392"/>
        <v>710.25586987878989</v>
      </c>
      <c r="L883" s="357">
        <f t="shared" ca="1" si="377"/>
        <v>1786.6280644655978</v>
      </c>
      <c r="M883" s="359">
        <f t="shared" ca="1" si="393"/>
        <v>-1.4108197488362351</v>
      </c>
      <c r="N883" s="357">
        <f t="shared" ca="1" si="394"/>
        <v>-80.83401726202311</v>
      </c>
      <c r="O883" s="343"/>
      <c r="P883" s="363">
        <f t="shared" ca="1" si="395"/>
        <v>23</v>
      </c>
      <c r="Q883" s="357">
        <f t="shared" ca="1" si="396"/>
        <v>0</v>
      </c>
      <c r="R883" s="359">
        <f t="shared" ca="1" si="397"/>
        <v>0</v>
      </c>
      <c r="S883" s="360">
        <f t="shared" ca="1" si="398"/>
        <v>10.637999999999975</v>
      </c>
      <c r="T883" s="357">
        <f t="shared" ca="1" si="378"/>
        <v>104.35877999999975</v>
      </c>
      <c r="U883" s="364">
        <f t="shared" ca="1" si="379"/>
        <v>0</v>
      </c>
      <c r="V883" s="359">
        <f t="shared" ca="1" si="380"/>
        <v>1.1409775286149944</v>
      </c>
      <c r="W883" s="357">
        <f t="shared" ca="1" si="381"/>
        <v>63.101682188832186</v>
      </c>
      <c r="X883" s="343"/>
      <c r="Y883" s="367" t="str">
        <f t="shared" ca="1" si="399"/>
        <v/>
      </c>
      <c r="Z883" s="368" t="str">
        <f t="shared" ca="1" si="400"/>
        <v/>
      </c>
      <c r="AA883" s="369" t="str">
        <f t="shared" ca="1" si="401"/>
        <v/>
      </c>
      <c r="AB883" s="344"/>
      <c r="AC883" s="363" t="e">
        <f t="shared" ca="1" si="402"/>
        <v>#N/A</v>
      </c>
      <c r="AD883" s="376" t="e">
        <f t="shared" ca="1" si="403"/>
        <v>#N/A</v>
      </c>
      <c r="AE883" s="377" t="e">
        <f t="shared" ca="1" si="382"/>
        <v>#N/A</v>
      </c>
      <c r="AF883" s="344"/>
      <c r="AG883" s="359">
        <f t="shared" ca="1" si="404"/>
        <v>3.7893474420199125</v>
      </c>
      <c r="AH883" s="357">
        <f t="shared" ca="1" si="405"/>
        <v>-5.8938049056603043</v>
      </c>
    </row>
    <row r="884" spans="1:34" x14ac:dyDescent="0.25">
      <c r="A884" s="402">
        <f t="shared" ca="1" si="383"/>
        <v>0.1</v>
      </c>
      <c r="B884" s="357">
        <f t="shared" ca="1" si="384"/>
        <v>43.000000000000277</v>
      </c>
      <c r="C884" s="342"/>
      <c r="D884" s="359">
        <f t="shared" ca="1" si="385"/>
        <v>-0.94489450511330564</v>
      </c>
      <c r="E884" s="360">
        <f t="shared" ca="1" si="386"/>
        <v>-3.9540178854870529</v>
      </c>
      <c r="F884" s="357">
        <f t="shared" ca="1" si="387"/>
        <v>4.0653515302547731</v>
      </c>
      <c r="G884" s="359">
        <f t="shared" ca="1" si="388"/>
        <v>24.695949919830596</v>
      </c>
      <c r="H884" s="360">
        <f t="shared" ca="1" si="389"/>
        <v>-154.0341083087352</v>
      </c>
      <c r="I884" s="357">
        <f t="shared" ca="1" si="390"/>
        <v>156.00127071568983</v>
      </c>
      <c r="J884" s="359">
        <f t="shared" ca="1" si="391"/>
        <v>1641.8572643675022</v>
      </c>
      <c r="K884" s="360">
        <f t="shared" ca="1" si="392"/>
        <v>694.87222913734377</v>
      </c>
      <c r="L884" s="357">
        <f t="shared" ca="1" si="377"/>
        <v>1782.8467941420652</v>
      </c>
      <c r="M884" s="359">
        <f t="shared" ca="1" si="393"/>
        <v>-1.4118214618512592</v>
      </c>
      <c r="N884" s="357">
        <f t="shared" ca="1" si="394"/>
        <v>-80.891411190067316</v>
      </c>
      <c r="O884" s="343"/>
      <c r="P884" s="363">
        <f t="shared" ca="1" si="395"/>
        <v>23</v>
      </c>
      <c r="Q884" s="357">
        <f t="shared" ca="1" si="396"/>
        <v>0</v>
      </c>
      <c r="R884" s="359">
        <f t="shared" ca="1" si="397"/>
        <v>0</v>
      </c>
      <c r="S884" s="360">
        <f t="shared" ca="1" si="398"/>
        <v>10.637999999999975</v>
      </c>
      <c r="T884" s="357">
        <f t="shared" ca="1" si="378"/>
        <v>104.35877999999975</v>
      </c>
      <c r="U884" s="364">
        <f t="shared" ca="1" si="379"/>
        <v>0</v>
      </c>
      <c r="V884" s="359">
        <f t="shared" ca="1" si="380"/>
        <v>1.1427362902975768</v>
      </c>
      <c r="W884" s="357">
        <f t="shared" ca="1" si="381"/>
        <v>63.504197789169652</v>
      </c>
      <c r="X884" s="343"/>
      <c r="Y884" s="367" t="str">
        <f t="shared" ca="1" si="399"/>
        <v/>
      </c>
      <c r="Z884" s="368" t="str">
        <f t="shared" ca="1" si="400"/>
        <v/>
      </c>
      <c r="AA884" s="369" t="str">
        <f t="shared" ca="1" si="401"/>
        <v/>
      </c>
      <c r="AB884" s="344"/>
      <c r="AC884" s="363">
        <f t="shared" ca="1" si="402"/>
        <v>43.000000000000277</v>
      </c>
      <c r="AD884" s="376">
        <f t="shared" ca="1" si="403"/>
        <v>1641.8572643675022</v>
      </c>
      <c r="AE884" s="377" t="e">
        <f t="shared" ca="1" si="382"/>
        <v>#N/A</v>
      </c>
      <c r="AF884" s="344"/>
      <c r="AG884" s="359">
        <f t="shared" ca="1" si="404"/>
        <v>3.7530120398104554</v>
      </c>
      <c r="AH884" s="357">
        <f t="shared" ca="1" si="405"/>
        <v>-5.9317242140282325</v>
      </c>
    </row>
    <row r="885" spans="1:34" x14ac:dyDescent="0.25">
      <c r="A885" s="402">
        <f t="shared" ca="1" si="383"/>
        <v>0.1</v>
      </c>
      <c r="B885" s="357">
        <f t="shared" ca="1" si="384"/>
        <v>43.100000000000279</v>
      </c>
      <c r="C885" s="342"/>
      <c r="D885" s="359">
        <f t="shared" ca="1" si="385"/>
        <v>-0.94501792899398351</v>
      </c>
      <c r="E885" s="360">
        <f t="shared" ca="1" si="386"/>
        <v>-3.9157139125687728</v>
      </c>
      <c r="F885" s="357">
        <f t="shared" ca="1" si="387"/>
        <v>4.0281353417188859</v>
      </c>
      <c r="G885" s="359">
        <f t="shared" ca="1" si="388"/>
        <v>24.601448126931199</v>
      </c>
      <c r="H885" s="360">
        <f t="shared" ca="1" si="389"/>
        <v>-154.42567969999209</v>
      </c>
      <c r="I885" s="357">
        <f t="shared" ca="1" si="390"/>
        <v>156.37302133279459</v>
      </c>
      <c r="J885" s="359">
        <f t="shared" ca="1" si="391"/>
        <v>1644.3221342698403</v>
      </c>
      <c r="K885" s="360">
        <f t="shared" ca="1" si="392"/>
        <v>679.44923973690743</v>
      </c>
      <c r="L885" s="357">
        <f t="shared" ca="1" si="377"/>
        <v>1779.1701859655766</v>
      </c>
      <c r="M885" s="359">
        <f t="shared" ca="1" si="393"/>
        <v>-1.4128145889932167</v>
      </c>
      <c r="N885" s="357">
        <f t="shared" ca="1" si="394"/>
        <v>-80.948313183821369</v>
      </c>
      <c r="O885" s="343"/>
      <c r="P885" s="363">
        <f t="shared" ca="1" si="395"/>
        <v>23</v>
      </c>
      <c r="Q885" s="357">
        <f t="shared" ca="1" si="396"/>
        <v>0</v>
      </c>
      <c r="R885" s="359">
        <f t="shared" ca="1" si="397"/>
        <v>0</v>
      </c>
      <c r="S885" s="360">
        <f t="shared" ca="1" si="398"/>
        <v>10.637999999999975</v>
      </c>
      <c r="T885" s="357">
        <f t="shared" ca="1" si="378"/>
        <v>104.35877999999975</v>
      </c>
      <c r="U885" s="364">
        <f t="shared" ca="1" si="379"/>
        <v>0</v>
      </c>
      <c r="V885" s="359">
        <f t="shared" ca="1" si="380"/>
        <v>1.1445021773521569</v>
      </c>
      <c r="W885" s="357">
        <f t="shared" ca="1" si="381"/>
        <v>63.905821307183984</v>
      </c>
      <c r="X885" s="343"/>
      <c r="Y885" s="367" t="str">
        <f t="shared" ca="1" si="399"/>
        <v/>
      </c>
      <c r="Z885" s="368" t="str">
        <f t="shared" ca="1" si="400"/>
        <v/>
      </c>
      <c r="AA885" s="369" t="str">
        <f t="shared" ca="1" si="401"/>
        <v/>
      </c>
      <c r="AB885" s="344"/>
      <c r="AC885" s="363" t="e">
        <f t="shared" ca="1" si="402"/>
        <v>#N/A</v>
      </c>
      <c r="AD885" s="376" t="e">
        <f t="shared" ca="1" si="403"/>
        <v>#N/A</v>
      </c>
      <c r="AE885" s="377" t="e">
        <f t="shared" ca="1" si="382"/>
        <v>#N/A</v>
      </c>
      <c r="AF885" s="344"/>
      <c r="AG885" s="359">
        <f t="shared" ca="1" si="404"/>
        <v>3.7167350163677035</v>
      </c>
      <c r="AH885" s="357">
        <f t="shared" ca="1" si="405"/>
        <v>-5.9695617399106791</v>
      </c>
    </row>
    <row r="886" spans="1:34" x14ac:dyDescent="0.25">
      <c r="A886" s="402">
        <f t="shared" ca="1" si="383"/>
        <v>0.1</v>
      </c>
      <c r="B886" s="357">
        <f t="shared" ca="1" si="384"/>
        <v>43.20000000000028</v>
      </c>
      <c r="C886" s="342"/>
      <c r="D886" s="359">
        <f t="shared" ca="1" si="385"/>
        <v>-0.94510329931073123</v>
      </c>
      <c r="E886" s="360">
        <f t="shared" ca="1" si="386"/>
        <v>-3.8774947820248338</v>
      </c>
      <c r="F886" s="357">
        <f t="shared" ca="1" si="387"/>
        <v>3.9910131584596216</v>
      </c>
      <c r="G886" s="359">
        <f t="shared" ca="1" si="388"/>
        <v>24.506937797000127</v>
      </c>
      <c r="H886" s="360">
        <f t="shared" ca="1" si="389"/>
        <v>-154.81342917819458</v>
      </c>
      <c r="I886" s="357">
        <f t="shared" ca="1" si="390"/>
        <v>156.7411492049803</v>
      </c>
      <c r="J886" s="359">
        <f t="shared" ca="1" si="391"/>
        <v>1646.7775535660369</v>
      </c>
      <c r="K886" s="360">
        <f t="shared" ca="1" si="392"/>
        <v>663.98728429299808</v>
      </c>
      <c r="L886" s="357">
        <f t="shared" ca="1" si="377"/>
        <v>1775.6000181999696</v>
      </c>
      <c r="M886" s="359">
        <f t="shared" ca="1" si="393"/>
        <v>-1.4137992458181827</v>
      </c>
      <c r="N886" s="357">
        <f t="shared" ca="1" si="394"/>
        <v>-81.004729864160666</v>
      </c>
      <c r="O886" s="343"/>
      <c r="P886" s="363">
        <f t="shared" ca="1" si="395"/>
        <v>23</v>
      </c>
      <c r="Q886" s="357">
        <f t="shared" ca="1" si="396"/>
        <v>0</v>
      </c>
      <c r="R886" s="359">
        <f t="shared" ca="1" si="397"/>
        <v>0</v>
      </c>
      <c r="S886" s="360">
        <f t="shared" ca="1" si="398"/>
        <v>10.637999999999975</v>
      </c>
      <c r="T886" s="357">
        <f t="shared" ca="1" si="378"/>
        <v>104.35877999999975</v>
      </c>
      <c r="U886" s="364">
        <f t="shared" ca="1" si="379"/>
        <v>0</v>
      </c>
      <c r="V886" s="359">
        <f t="shared" ca="1" si="380"/>
        <v>1.1462751719144555</v>
      </c>
      <c r="W886" s="357">
        <f t="shared" ca="1" si="381"/>
        <v>64.306530915817333</v>
      </c>
      <c r="X886" s="343"/>
      <c r="Y886" s="367" t="str">
        <f t="shared" ca="1" si="399"/>
        <v/>
      </c>
      <c r="Z886" s="368" t="str">
        <f t="shared" ca="1" si="400"/>
        <v/>
      </c>
      <c r="AA886" s="369" t="str">
        <f t="shared" ca="1" si="401"/>
        <v/>
      </c>
      <c r="AB886" s="344"/>
      <c r="AC886" s="363" t="e">
        <f t="shared" ca="1" si="402"/>
        <v>#N/A</v>
      </c>
      <c r="AD886" s="376" t="e">
        <f t="shared" ca="1" si="403"/>
        <v>#N/A</v>
      </c>
      <c r="AE886" s="377" t="e">
        <f t="shared" ca="1" si="382"/>
        <v>#N/A</v>
      </c>
      <c r="AF886" s="344"/>
      <c r="AG886" s="359">
        <f t="shared" ca="1" si="404"/>
        <v>3.6805188807468019</v>
      </c>
      <c r="AH886" s="357">
        <f t="shared" ca="1" si="405"/>
        <v>-6.0073154077067246</v>
      </c>
    </row>
    <row r="887" spans="1:34" x14ac:dyDescent="0.25">
      <c r="A887" s="402">
        <f t="shared" ca="1" si="383"/>
        <v>0.1</v>
      </c>
      <c r="B887" s="357">
        <f t="shared" ca="1" si="384"/>
        <v>43.300000000000281</v>
      </c>
      <c r="C887" s="342"/>
      <c r="D887" s="359">
        <f t="shared" ca="1" si="385"/>
        <v>-0.94515082462432554</v>
      </c>
      <c r="E887" s="360">
        <f t="shared" ca="1" si="386"/>
        <v>-3.8393625640735385</v>
      </c>
      <c r="F887" s="357">
        <f t="shared" ca="1" si="387"/>
        <v>3.9539872255354314</v>
      </c>
      <c r="G887" s="359">
        <f t="shared" ca="1" si="388"/>
        <v>24.412422714537694</v>
      </c>
      <c r="H887" s="360">
        <f t="shared" ca="1" si="389"/>
        <v>-155.19736543460195</v>
      </c>
      <c r="I887" s="357">
        <f t="shared" ca="1" si="390"/>
        <v>157.10566068934199</v>
      </c>
      <c r="J887" s="359">
        <f t="shared" ca="1" si="391"/>
        <v>1649.2235215916137</v>
      </c>
      <c r="K887" s="360">
        <f t="shared" ca="1" si="392"/>
        <v>648.48674456235824</v>
      </c>
      <c r="L887" s="357">
        <f t="shared" ca="1" si="377"/>
        <v>1772.138053889744</v>
      </c>
      <c r="M887" s="359">
        <f t="shared" ca="1" si="393"/>
        <v>-1.4147755457630251</v>
      </c>
      <c r="N887" s="357">
        <f t="shared" ca="1" si="394"/>
        <v>-81.060667730538995</v>
      </c>
      <c r="O887" s="343"/>
      <c r="P887" s="363">
        <f t="shared" ca="1" si="395"/>
        <v>23</v>
      </c>
      <c r="Q887" s="357">
        <f t="shared" ca="1" si="396"/>
        <v>0</v>
      </c>
      <c r="R887" s="359">
        <f t="shared" ca="1" si="397"/>
        <v>0</v>
      </c>
      <c r="S887" s="360">
        <f t="shared" ca="1" si="398"/>
        <v>10.637999999999975</v>
      </c>
      <c r="T887" s="357">
        <f t="shared" ca="1" si="378"/>
        <v>104.35877999999975</v>
      </c>
      <c r="U887" s="364">
        <f t="shared" ca="1" si="379"/>
        <v>0</v>
      </c>
      <c r="V887" s="359">
        <f t="shared" ca="1" si="380"/>
        <v>1.148055256114777</v>
      </c>
      <c r="W887" s="357">
        <f t="shared" ca="1" si="381"/>
        <v>64.70630504263444</v>
      </c>
      <c r="X887" s="343"/>
      <c r="Y887" s="367" t="str">
        <f t="shared" ca="1" si="399"/>
        <v/>
      </c>
      <c r="Z887" s="368" t="str">
        <f t="shared" ca="1" si="400"/>
        <v/>
      </c>
      <c r="AA887" s="369" t="str">
        <f t="shared" ca="1" si="401"/>
        <v/>
      </c>
      <c r="AB887" s="344"/>
      <c r="AC887" s="363" t="e">
        <f t="shared" ca="1" si="402"/>
        <v>#N/A</v>
      </c>
      <c r="AD887" s="376" t="e">
        <f t="shared" ca="1" si="403"/>
        <v>#N/A</v>
      </c>
      <c r="AE887" s="377" t="e">
        <f t="shared" ca="1" si="382"/>
        <v>#N/A</v>
      </c>
      <c r="AF887" s="344"/>
      <c r="AG887" s="359">
        <f t="shared" ca="1" si="404"/>
        <v>3.6443661082753405</v>
      </c>
      <c r="AH887" s="357">
        <f t="shared" ca="1" si="405"/>
        <v>-6.0449831656154807</v>
      </c>
    </row>
    <row r="888" spans="1:34" x14ac:dyDescent="0.25">
      <c r="A888" s="402">
        <f t="shared" ca="1" si="383"/>
        <v>0.1</v>
      </c>
      <c r="B888" s="357">
        <f t="shared" ca="1" si="384"/>
        <v>43.400000000000283</v>
      </c>
      <c r="C888" s="342"/>
      <c r="D888" s="359">
        <f t="shared" ca="1" si="385"/>
        <v>-0.94516071632880261</v>
      </c>
      <c r="E888" s="360">
        <f t="shared" ca="1" si="386"/>
        <v>-3.8013193048570697</v>
      </c>
      <c r="F888" s="357">
        <f t="shared" ca="1" si="387"/>
        <v>3.9170597694150917</v>
      </c>
      <c r="G888" s="359">
        <f t="shared" ca="1" si="388"/>
        <v>24.317906642904813</v>
      </c>
      <c r="H888" s="360">
        <f t="shared" ca="1" si="389"/>
        <v>-155.57749736508765</v>
      </c>
      <c r="I888" s="357">
        <f t="shared" ca="1" si="390"/>
        <v>157.46656238667589</v>
      </c>
      <c r="J888" s="359">
        <f t="shared" ca="1" si="391"/>
        <v>1651.6600380594857</v>
      </c>
      <c r="K888" s="360">
        <f t="shared" ca="1" si="392"/>
        <v>632.94800142237375</v>
      </c>
      <c r="L888" s="357">
        <f t="shared" ca="1" si="377"/>
        <v>1768.7860395839964</v>
      </c>
      <c r="M888" s="359">
        <f t="shared" ca="1" si="393"/>
        <v>-1.4157436001926922</v>
      </c>
      <c r="N888" s="357">
        <f t="shared" ca="1" si="394"/>
        <v>-81.116133163697867</v>
      </c>
      <c r="O888" s="343"/>
      <c r="P888" s="363">
        <f t="shared" ca="1" si="395"/>
        <v>23</v>
      </c>
      <c r="Q888" s="357">
        <f t="shared" ca="1" si="396"/>
        <v>0</v>
      </c>
      <c r="R888" s="359">
        <f t="shared" ca="1" si="397"/>
        <v>0</v>
      </c>
      <c r="S888" s="360">
        <f t="shared" ca="1" si="398"/>
        <v>10.637999999999975</v>
      </c>
      <c r="T888" s="357">
        <f t="shared" ca="1" si="378"/>
        <v>104.35877999999975</v>
      </c>
      <c r="U888" s="364">
        <f t="shared" ca="1" si="379"/>
        <v>0</v>
      </c>
      <c r="V888" s="359">
        <f t="shared" ca="1" si="380"/>
        <v>1.1498424120790731</v>
      </c>
      <c r="W888" s="357">
        <f t="shared" ca="1" si="381"/>
        <v>65.105122371198192</v>
      </c>
      <c r="X888" s="343"/>
      <c r="Y888" s="367" t="str">
        <f t="shared" ca="1" si="399"/>
        <v/>
      </c>
      <c r="Z888" s="368" t="str">
        <f t="shared" ca="1" si="400"/>
        <v/>
      </c>
      <c r="AA888" s="369" t="str">
        <f t="shared" ca="1" si="401"/>
        <v/>
      </c>
      <c r="AB888" s="344"/>
      <c r="AC888" s="363" t="e">
        <f t="shared" ca="1" si="402"/>
        <v>#N/A</v>
      </c>
      <c r="AD888" s="376" t="e">
        <f t="shared" ca="1" si="403"/>
        <v>#N/A</v>
      </c>
      <c r="AE888" s="377" t="e">
        <f t="shared" ca="1" si="382"/>
        <v>#N/A</v>
      </c>
      <c r="AF888" s="344"/>
      <c r="AG888" s="359">
        <f t="shared" ca="1" si="404"/>
        <v>3.6082791406877215</v>
      </c>
      <c r="AH888" s="357">
        <f t="shared" ca="1" si="405"/>
        <v>-6.0825629857712533</v>
      </c>
    </row>
    <row r="889" spans="1:34" x14ac:dyDescent="0.25">
      <c r="A889" s="402">
        <f t="shared" ca="1" si="383"/>
        <v>0.1</v>
      </c>
      <c r="B889" s="357">
        <f t="shared" ca="1" si="384"/>
        <v>43.500000000000284</v>
      </c>
      <c r="C889" s="342"/>
      <c r="D889" s="359">
        <f t="shared" ca="1" si="385"/>
        <v>-0.94513318859403883</v>
      </c>
      <c r="E889" s="360">
        <f t="shared" ca="1" si="386"/>
        <v>-3.7633670263082495</v>
      </c>
      <c r="F889" s="357">
        <f t="shared" ca="1" si="387"/>
        <v>3.8802329980152135</v>
      </c>
      <c r="G889" s="359">
        <f t="shared" ca="1" si="388"/>
        <v>24.223393324045407</v>
      </c>
      <c r="H889" s="360">
        <f t="shared" ca="1" si="389"/>
        <v>-155.95383406771847</v>
      </c>
      <c r="I889" s="357">
        <f t="shared" ca="1" si="390"/>
        <v>157.82386113814627</v>
      </c>
      <c r="J889" s="359">
        <f t="shared" ca="1" si="391"/>
        <v>1654.0871030578332</v>
      </c>
      <c r="K889" s="360">
        <f t="shared" ca="1" si="392"/>
        <v>617.37143485073341</v>
      </c>
      <c r="L889" s="357">
        <f t="shared" ca="1" si="377"/>
        <v>1765.5457040450435</v>
      </c>
      <c r="M889" s="359">
        <f t="shared" ca="1" si="393"/>
        <v>-1.4167035184462649</v>
      </c>
      <c r="N889" s="357">
        <f t="shared" ca="1" si="394"/>
        <v>-81.171132428305143</v>
      </c>
      <c r="O889" s="343"/>
      <c r="P889" s="363">
        <f t="shared" ca="1" si="395"/>
        <v>23</v>
      </c>
      <c r="Q889" s="357">
        <f t="shared" ca="1" si="396"/>
        <v>0</v>
      </c>
      <c r="R889" s="359">
        <f t="shared" ca="1" si="397"/>
        <v>0</v>
      </c>
      <c r="S889" s="360">
        <f t="shared" ca="1" si="398"/>
        <v>10.637999999999975</v>
      </c>
      <c r="T889" s="357">
        <f t="shared" ca="1" si="378"/>
        <v>104.35877999999975</v>
      </c>
      <c r="U889" s="364">
        <f t="shared" ca="1" si="379"/>
        <v>0</v>
      </c>
      <c r="V889" s="359">
        <f t="shared" ca="1" si="380"/>
        <v>1.1516366219300134</v>
      </c>
      <c r="W889" s="357">
        <f t="shared" ca="1" si="381"/>
        <v>65.502961842384735</v>
      </c>
      <c r="X889" s="343"/>
      <c r="Y889" s="367" t="str">
        <f t="shared" ca="1" si="399"/>
        <v/>
      </c>
      <c r="Z889" s="368" t="str">
        <f t="shared" ca="1" si="400"/>
        <v/>
      </c>
      <c r="AA889" s="369" t="str">
        <f t="shared" ca="1" si="401"/>
        <v/>
      </c>
      <c r="AB889" s="344"/>
      <c r="AC889" s="363" t="e">
        <f t="shared" ca="1" si="402"/>
        <v>#N/A</v>
      </c>
      <c r="AD889" s="376" t="e">
        <f t="shared" ca="1" si="403"/>
        <v>#N/A</v>
      </c>
      <c r="AE889" s="377" t="e">
        <f t="shared" ca="1" si="382"/>
        <v>#N/A</v>
      </c>
      <c r="AF889" s="344"/>
      <c r="AG889" s="359">
        <f t="shared" ca="1" si="404"/>
        <v>3.5722603862569979</v>
      </c>
      <c r="AH889" s="357">
        <f t="shared" ca="1" si="405"/>
        <v>-6.1200528643728465</v>
      </c>
    </row>
    <row r="890" spans="1:34" x14ac:dyDescent="0.25">
      <c r="A890" s="402">
        <f t="shared" ca="1" si="383"/>
        <v>0.1</v>
      </c>
      <c r="B890" s="357">
        <f t="shared" ca="1" si="384"/>
        <v>43.600000000000286</v>
      </c>
      <c r="C890" s="342"/>
      <c r="D890" s="359">
        <f t="shared" ca="1" si="385"/>
        <v>-0.94506845830837083</v>
      </c>
      <c r="E890" s="360">
        <f t="shared" ca="1" si="386"/>
        <v>-3.7255077260230927</v>
      </c>
      <c r="F890" s="357">
        <f t="shared" ca="1" si="387"/>
        <v>3.8435091007498756</v>
      </c>
      <c r="G890" s="359">
        <f t="shared" ca="1" si="388"/>
        <v>24.128886478214572</v>
      </c>
      <c r="H890" s="360">
        <f t="shared" ca="1" si="389"/>
        <v>-156.32638484032077</v>
      </c>
      <c r="I890" s="357">
        <f t="shared" ca="1" si="390"/>
        <v>158.17756402196437</v>
      </c>
      <c r="J890" s="359">
        <f t="shared" ca="1" si="391"/>
        <v>1656.5047170479463</v>
      </c>
      <c r="K890" s="360">
        <f t="shared" ca="1" si="392"/>
        <v>601.75742390533139</v>
      </c>
      <c r="L890" s="357">
        <f t="shared" ca="1" si="377"/>
        <v>1762.4187569437854</v>
      </c>
      <c r="M890" s="359">
        <f t="shared" ca="1" si="393"/>
        <v>-1.4176554078818013</v>
      </c>
      <c r="N890" s="357">
        <f t="shared" ca="1" si="394"/>
        <v>-81.225671675524481</v>
      </c>
      <c r="O890" s="343"/>
      <c r="P890" s="363">
        <f t="shared" ca="1" si="395"/>
        <v>23</v>
      </c>
      <c r="Q890" s="357">
        <f t="shared" ca="1" si="396"/>
        <v>0</v>
      </c>
      <c r="R890" s="359">
        <f t="shared" ca="1" si="397"/>
        <v>0</v>
      </c>
      <c r="S890" s="360">
        <f t="shared" ca="1" si="398"/>
        <v>10.637999999999975</v>
      </c>
      <c r="T890" s="357">
        <f t="shared" ca="1" si="378"/>
        <v>104.35877999999975</v>
      </c>
      <c r="U890" s="364">
        <f t="shared" ca="1" si="379"/>
        <v>0</v>
      </c>
      <c r="V890" s="359">
        <f t="shared" ca="1" si="380"/>
        <v>1.1534378677880486</v>
      </c>
      <c r="W890" s="357">
        <f t="shared" ca="1" si="381"/>
        <v>65.899802655636634</v>
      </c>
      <c r="X890" s="343"/>
      <c r="Y890" s="367" t="str">
        <f t="shared" ca="1" si="399"/>
        <v/>
      </c>
      <c r="Z890" s="368" t="str">
        <f t="shared" ca="1" si="400"/>
        <v/>
      </c>
      <c r="AA890" s="369" t="str">
        <f t="shared" ca="1" si="401"/>
        <v/>
      </c>
      <c r="AB890" s="344"/>
      <c r="AC890" s="363" t="e">
        <f t="shared" ca="1" si="402"/>
        <v>#N/A</v>
      </c>
      <c r="AD890" s="376" t="e">
        <f t="shared" ca="1" si="403"/>
        <v>#N/A</v>
      </c>
      <c r="AE890" s="377" t="e">
        <f t="shared" ca="1" si="382"/>
        <v>#N/A</v>
      </c>
      <c r="AF890" s="344"/>
      <c r="AG890" s="359">
        <f t="shared" ca="1" si="404"/>
        <v>3.5363122199242571</v>
      </c>
      <c r="AH890" s="357">
        <f t="shared" ca="1" si="405"/>
        <v>-6.1574508218071902</v>
      </c>
    </row>
    <row r="891" spans="1:34" x14ac:dyDescent="0.25">
      <c r="A891" s="402">
        <f t="shared" ca="1" si="383"/>
        <v>0.1</v>
      </c>
      <c r="B891" s="357">
        <f t="shared" ca="1" si="384"/>
        <v>43.700000000000287</v>
      </c>
      <c r="C891" s="342"/>
      <c r="D891" s="359">
        <f t="shared" ca="1" si="385"/>
        <v>-0.94496674502128331</v>
      </c>
      <c r="E891" s="360">
        <f t="shared" ca="1" si="386"/>
        <v>-3.6877433771393306</v>
      </c>
      <c r="F891" s="357">
        <f t="shared" ca="1" si="387"/>
        <v>3.8068902485928215</v>
      </c>
      <c r="G891" s="359">
        <f t="shared" ca="1" si="388"/>
        <v>24.034389803712443</v>
      </c>
      <c r="H891" s="360">
        <f t="shared" ca="1" si="389"/>
        <v>-156.69515917803471</v>
      </c>
      <c r="I891" s="357">
        <f t="shared" ca="1" si="390"/>
        <v>158.52767835008004</v>
      </c>
      <c r="J891" s="359">
        <f t="shared" ca="1" si="391"/>
        <v>1658.9128808620426</v>
      </c>
      <c r="K891" s="360">
        <f t="shared" ca="1" si="392"/>
        <v>586.10634670441357</v>
      </c>
      <c r="L891" s="357">
        <f t="shared" ca="1" si="377"/>
        <v>1759.4068875439802</v>
      </c>
      <c r="M891" s="359">
        <f t="shared" ca="1" si="393"/>
        <v>-1.4185993739200167</v>
      </c>
      <c r="N891" s="357">
        <f t="shared" ca="1" si="394"/>
        <v>-81.279756945517903</v>
      </c>
      <c r="O891" s="343"/>
      <c r="P891" s="363">
        <f t="shared" ca="1" si="395"/>
        <v>23</v>
      </c>
      <c r="Q891" s="357">
        <f t="shared" ca="1" si="396"/>
        <v>0</v>
      </c>
      <c r="R891" s="359">
        <f t="shared" ca="1" si="397"/>
        <v>0</v>
      </c>
      <c r="S891" s="360">
        <f t="shared" ca="1" si="398"/>
        <v>10.637999999999975</v>
      </c>
      <c r="T891" s="357">
        <f t="shared" ca="1" si="378"/>
        <v>104.35877999999975</v>
      </c>
      <c r="U891" s="364">
        <f t="shared" ca="1" si="379"/>
        <v>0</v>
      </c>
      <c r="V891" s="359">
        <f t="shared" ca="1" si="380"/>
        <v>1.155246131772476</v>
      </c>
      <c r="W891" s="357">
        <f t="shared" ca="1" si="381"/>
        <v>66.295624270155287</v>
      </c>
      <c r="X891" s="343"/>
      <c r="Y891" s="367" t="str">
        <f t="shared" ca="1" si="399"/>
        <v/>
      </c>
      <c r="Z891" s="368" t="str">
        <f t="shared" ca="1" si="400"/>
        <v/>
      </c>
      <c r="AA891" s="369" t="str">
        <f t="shared" ca="1" si="401"/>
        <v/>
      </c>
      <c r="AB891" s="344"/>
      <c r="AC891" s="363" t="e">
        <f t="shared" ca="1" si="402"/>
        <v>#N/A</v>
      </c>
      <c r="AD891" s="376" t="e">
        <f t="shared" ca="1" si="403"/>
        <v>#N/A</v>
      </c>
      <c r="AE891" s="377" t="e">
        <f t="shared" ca="1" si="382"/>
        <v>#N/A</v>
      </c>
      <c r="AF891" s="344"/>
      <c r="AG891" s="359">
        <f t="shared" ca="1" si="404"/>
        <v>3.5004369834260149</v>
      </c>
      <c r="AH891" s="357">
        <f t="shared" ca="1" si="405"/>
        <v>-6.1947549027671354</v>
      </c>
    </row>
    <row r="892" spans="1:34" x14ac:dyDescent="0.25">
      <c r="A892" s="402">
        <f t="shared" ca="1" si="383"/>
        <v>0.1</v>
      </c>
      <c r="B892" s="357">
        <f t="shared" ca="1" si="384"/>
        <v>43.800000000000288</v>
      </c>
      <c r="C892" s="342"/>
      <c r="D892" s="359">
        <f t="shared" ca="1" si="385"/>
        <v>-0.94482827088616028</v>
      </c>
      <c r="E892" s="360">
        <f t="shared" ca="1" si="386"/>
        <v>-3.650075928220744</v>
      </c>
      <c r="F892" s="357">
        <f t="shared" ca="1" si="387"/>
        <v>3.7703785941523509</v>
      </c>
      <c r="G892" s="359">
        <f t="shared" ca="1" si="388"/>
        <v>23.939906976623828</v>
      </c>
      <c r="H892" s="360">
        <f t="shared" ca="1" si="389"/>
        <v>-157.0601667708568</v>
      </c>
      <c r="I892" s="357">
        <f t="shared" ca="1" si="390"/>
        <v>158.87421166488522</v>
      </c>
      <c r="J892" s="359">
        <f t="shared" ca="1" si="391"/>
        <v>1661.3115957010593</v>
      </c>
      <c r="K892" s="360">
        <f t="shared" ca="1" si="392"/>
        <v>570.418580406969</v>
      </c>
      <c r="L892" s="357">
        <f t="shared" ca="1" si="377"/>
        <v>1756.5117633777184</v>
      </c>
      <c r="M892" s="359">
        <f t="shared" ca="1" si="393"/>
        <v>-1.41953552008683</v>
      </c>
      <c r="N892" s="357">
        <f t="shared" ca="1" si="394"/>
        <v>-81.333394169883661</v>
      </c>
      <c r="O892" s="343"/>
      <c r="P892" s="363">
        <f t="shared" ca="1" si="395"/>
        <v>23</v>
      </c>
      <c r="Q892" s="357">
        <f t="shared" ca="1" si="396"/>
        <v>0</v>
      </c>
      <c r="R892" s="359">
        <f t="shared" ca="1" si="397"/>
        <v>0</v>
      </c>
      <c r="S892" s="360">
        <f t="shared" ca="1" si="398"/>
        <v>10.637999999999975</v>
      </c>
      <c r="T892" s="357">
        <f t="shared" ca="1" si="378"/>
        <v>104.35877999999975</v>
      </c>
      <c r="U892" s="364">
        <f t="shared" ca="1" si="379"/>
        <v>0</v>
      </c>
      <c r="V892" s="359">
        <f t="shared" ca="1" si="380"/>
        <v>1.1570613960025009</v>
      </c>
      <c r="W892" s="357">
        <f t="shared" ca="1" si="381"/>
        <v>66.690406406031869</v>
      </c>
      <c r="X892" s="343"/>
      <c r="Y892" s="367" t="str">
        <f t="shared" ca="1" si="399"/>
        <v/>
      </c>
      <c r="Z892" s="368" t="str">
        <f t="shared" ca="1" si="400"/>
        <v/>
      </c>
      <c r="AA892" s="369" t="str">
        <f t="shared" ca="1" si="401"/>
        <v/>
      </c>
      <c r="AB892" s="344"/>
      <c r="AC892" s="363" t="e">
        <f t="shared" ca="1" si="402"/>
        <v>#N/A</v>
      </c>
      <c r="AD892" s="376" t="e">
        <f t="shared" ca="1" si="403"/>
        <v>#N/A</v>
      </c>
      <c r="AE892" s="377" t="e">
        <f t="shared" ca="1" si="382"/>
        <v>#N/A</v>
      </c>
      <c r="AF892" s="344"/>
      <c r="AG892" s="359">
        <f t="shared" ca="1" si="404"/>
        <v>3.4646369854197729</v>
      </c>
      <c r="AH892" s="357">
        <f t="shared" ca="1" si="405"/>
        <v>-6.2319631763635499</v>
      </c>
    </row>
    <row r="893" spans="1:34" x14ac:dyDescent="0.25">
      <c r="A893" s="402">
        <f t="shared" ca="1" si="383"/>
        <v>0.1</v>
      </c>
      <c r="B893" s="357">
        <f t="shared" ca="1" si="384"/>
        <v>43.90000000000029</v>
      </c>
      <c r="C893" s="342"/>
      <c r="D893" s="359">
        <f t="shared" ca="1" si="385"/>
        <v>-0.94465326060309918</v>
      </c>
      <c r="E893" s="360">
        <f t="shared" ca="1" si="386"/>
        <v>-3.6125073031474191</v>
      </c>
      <c r="F893" s="357">
        <f t="shared" ca="1" si="387"/>
        <v>3.7339762717593028</v>
      </c>
      <c r="G893" s="359">
        <f t="shared" ca="1" si="388"/>
        <v>23.845441650563519</v>
      </c>
      <c r="H893" s="360">
        <f t="shared" ca="1" si="389"/>
        <v>-157.42141750117153</v>
      </c>
      <c r="I893" s="357">
        <f t="shared" ca="1" si="390"/>
        <v>159.21717173592987</v>
      </c>
      <c r="J893" s="359">
        <f t="shared" ca="1" si="391"/>
        <v>1663.7008631324186</v>
      </c>
      <c r="K893" s="360">
        <f t="shared" ca="1" si="392"/>
        <v>554.69450119336761</v>
      </c>
      <c r="L893" s="357">
        <f t="shared" ca="1" si="377"/>
        <v>1753.7350289144917</v>
      </c>
      <c r="M893" s="359">
        <f t="shared" ca="1" si="393"/>
        <v>-1.4204639480548131</v>
      </c>
      <c r="N893" s="357">
        <f t="shared" ca="1" si="394"/>
        <v>-81.386589174031002</v>
      </c>
      <c r="O893" s="343"/>
      <c r="P893" s="363">
        <f t="shared" ca="1" si="395"/>
        <v>23</v>
      </c>
      <c r="Q893" s="357">
        <f t="shared" ca="1" si="396"/>
        <v>0</v>
      </c>
      <c r="R893" s="359">
        <f t="shared" ca="1" si="397"/>
        <v>0</v>
      </c>
      <c r="S893" s="360">
        <f t="shared" ca="1" si="398"/>
        <v>10.637999999999975</v>
      </c>
      <c r="T893" s="357">
        <f t="shared" ca="1" si="378"/>
        <v>104.35877999999975</v>
      </c>
      <c r="U893" s="364">
        <f t="shared" ca="1" si="379"/>
        <v>0</v>
      </c>
      <c r="V893" s="359">
        <f t="shared" ca="1" si="380"/>
        <v>1.1588836425982956</v>
      </c>
      <c r="W893" s="357">
        <f t="shared" ca="1" si="381"/>
        <v>67.084129045317653</v>
      </c>
      <c r="X893" s="343"/>
      <c r="Y893" s="367" t="str">
        <f t="shared" ca="1" si="399"/>
        <v/>
      </c>
      <c r="Z893" s="368" t="str">
        <f t="shared" ca="1" si="400"/>
        <v/>
      </c>
      <c r="AA893" s="369" t="str">
        <f t="shared" ca="1" si="401"/>
        <v/>
      </c>
      <c r="AB893" s="344"/>
      <c r="AC893" s="363" t="e">
        <f t="shared" ca="1" si="402"/>
        <v>#N/A</v>
      </c>
      <c r="AD893" s="376" t="e">
        <f t="shared" ca="1" si="403"/>
        <v>#N/A</v>
      </c>
      <c r="AE893" s="377" t="e">
        <f t="shared" ca="1" si="382"/>
        <v>#N/A</v>
      </c>
      <c r="AF893" s="344"/>
      <c r="AG893" s="359">
        <f t="shared" ca="1" si="404"/>
        <v>3.4289145016080349</v>
      </c>
      <c r="AH893" s="357">
        <f t="shared" ca="1" si="405"/>
        <v>-6.2690737362316247</v>
      </c>
    </row>
    <row r="894" spans="1:34" x14ac:dyDescent="0.25">
      <c r="A894" s="402">
        <f t="shared" ca="1" si="383"/>
        <v>0.1</v>
      </c>
      <c r="B894" s="357">
        <f t="shared" ca="1" si="384"/>
        <v>44.000000000000291</v>
      </c>
      <c r="C894" s="342"/>
      <c r="D894" s="359">
        <f t="shared" ca="1" si="385"/>
        <v>-0.94444194136181758</v>
      </c>
      <c r="E894" s="360">
        <f t="shared" ca="1" si="386"/>
        <v>-3.575039401011801</v>
      </c>
      <c r="F894" s="357">
        <f t="shared" ca="1" si="387"/>
        <v>3.697685397568335</v>
      </c>
      <c r="G894" s="359">
        <f t="shared" ca="1" si="388"/>
        <v>23.750997456427339</v>
      </c>
      <c r="H894" s="360">
        <f t="shared" ca="1" si="389"/>
        <v>-157.7789214412727</v>
      </c>
      <c r="I894" s="357">
        <f t="shared" ca="1" si="390"/>
        <v>159.5565665566495</v>
      </c>
      <c r="J894" s="359">
        <f t="shared" ca="1" si="391"/>
        <v>1666.0806850877682</v>
      </c>
      <c r="K894" s="360">
        <f t="shared" ca="1" si="392"/>
        <v>538.93448424624535</v>
      </c>
      <c r="L894" s="357">
        <f t="shared" ca="1" si="377"/>
        <v>1751.0783042263681</v>
      </c>
      <c r="M894" s="359">
        <f t="shared" ca="1" si="393"/>
        <v>-1.4213847576835712</v>
      </c>
      <c r="N894" s="357">
        <f t="shared" ca="1" si="394"/>
        <v>-81.439347679493835</v>
      </c>
      <c r="O894" s="343"/>
      <c r="P894" s="363">
        <f t="shared" ca="1" si="395"/>
        <v>23</v>
      </c>
      <c r="Q894" s="357">
        <f t="shared" ca="1" si="396"/>
        <v>0</v>
      </c>
      <c r="R894" s="359">
        <f t="shared" ca="1" si="397"/>
        <v>0</v>
      </c>
      <c r="S894" s="360">
        <f t="shared" ca="1" si="398"/>
        <v>10.637999999999975</v>
      </c>
      <c r="T894" s="357">
        <f t="shared" ca="1" si="378"/>
        <v>104.35877999999975</v>
      </c>
      <c r="U894" s="364">
        <f t="shared" ca="1" si="379"/>
        <v>0</v>
      </c>
      <c r="V894" s="359">
        <f t="shared" ca="1" si="380"/>
        <v>1.160712853682061</v>
      </c>
      <c r="W894" s="357">
        <f t="shared" ca="1" si="381"/>
        <v>67.476772433033489</v>
      </c>
      <c r="X894" s="343"/>
      <c r="Y894" s="367" t="str">
        <f t="shared" ca="1" si="399"/>
        <v/>
      </c>
      <c r="Z894" s="368" t="str">
        <f t="shared" ca="1" si="400"/>
        <v/>
      </c>
      <c r="AA894" s="369" t="str">
        <f t="shared" ca="1" si="401"/>
        <v/>
      </c>
      <c r="AB894" s="344"/>
      <c r="AC894" s="363">
        <f t="shared" ca="1" si="402"/>
        <v>44.000000000000291</v>
      </c>
      <c r="AD894" s="376">
        <f t="shared" ca="1" si="403"/>
        <v>1666.0806850877682</v>
      </c>
      <c r="AE894" s="377" t="e">
        <f t="shared" ca="1" si="382"/>
        <v>#N/A</v>
      </c>
      <c r="AF894" s="344"/>
      <c r="AG894" s="359">
        <f t="shared" ca="1" si="404"/>
        <v>3.3932717748610086</v>
      </c>
      <c r="AH894" s="357">
        <f t="shared" ca="1" si="405"/>
        <v>-6.3060847006314917</v>
      </c>
    </row>
    <row r="895" spans="1:34" x14ac:dyDescent="0.25">
      <c r="A895" s="402">
        <f t="shared" ca="1" si="383"/>
        <v>0.1</v>
      </c>
      <c r="B895" s="357">
        <f t="shared" ca="1" si="384"/>
        <v>44.100000000000293</v>
      </c>
      <c r="C895" s="342"/>
      <c r="D895" s="359">
        <f t="shared" ca="1" si="385"/>
        <v>-0.94419454278465353</v>
      </c>
      <c r="E895" s="360">
        <f t="shared" ca="1" si="386"/>
        <v>-3.5376740960205915</v>
      </c>
      <c r="F895" s="357">
        <f t="shared" ca="1" si="387"/>
        <v>3.6615080696728541</v>
      </c>
      <c r="G895" s="359">
        <f t="shared" ca="1" si="388"/>
        <v>23.656578002148873</v>
      </c>
      <c r="H895" s="360">
        <f t="shared" ca="1" si="389"/>
        <v>-158.13268885087476</v>
      </c>
      <c r="I895" s="357">
        <f t="shared" ca="1" si="390"/>
        <v>159.89240434110471</v>
      </c>
      <c r="J895" s="359">
        <f t="shared" ca="1" si="391"/>
        <v>1668.4510638606971</v>
      </c>
      <c r="K895" s="360">
        <f t="shared" ca="1" si="392"/>
        <v>523.13890373163792</v>
      </c>
      <c r="L895" s="357">
        <f t="shared" ca="1" si="377"/>
        <v>1748.5431836518742</v>
      </c>
      <c r="M895" s="359">
        <f t="shared" ca="1" si="393"/>
        <v>-1.4222980470590918</v>
      </c>
      <c r="N895" s="357">
        <f t="shared" ca="1" si="394"/>
        <v>-81.491675306185314</v>
      </c>
      <c r="O895" s="343"/>
      <c r="P895" s="363">
        <f t="shared" ca="1" si="395"/>
        <v>23</v>
      </c>
      <c r="Q895" s="357">
        <f t="shared" ca="1" si="396"/>
        <v>0</v>
      </c>
      <c r="R895" s="359">
        <f t="shared" ca="1" si="397"/>
        <v>0</v>
      </c>
      <c r="S895" s="360">
        <f t="shared" ca="1" si="398"/>
        <v>10.637999999999975</v>
      </c>
      <c r="T895" s="357">
        <f t="shared" ca="1" si="378"/>
        <v>104.35877999999975</v>
      </c>
      <c r="U895" s="364">
        <f t="shared" ca="1" si="379"/>
        <v>0</v>
      </c>
      <c r="V895" s="359">
        <f t="shared" ca="1" si="380"/>
        <v>1.16254901137908</v>
      </c>
      <c r="W895" s="357">
        <f t="shared" ca="1" si="381"/>
        <v>67.868317078118437</v>
      </c>
      <c r="X895" s="343"/>
      <c r="Y895" s="367" t="str">
        <f t="shared" ca="1" si="399"/>
        <v/>
      </c>
      <c r="Z895" s="368" t="str">
        <f t="shared" ca="1" si="400"/>
        <v/>
      </c>
      <c r="AA895" s="369" t="str">
        <f t="shared" ca="1" si="401"/>
        <v/>
      </c>
      <c r="AB895" s="344"/>
      <c r="AC895" s="363" t="e">
        <f t="shared" ca="1" si="402"/>
        <v>#N/A</v>
      </c>
      <c r="AD895" s="376" t="e">
        <f t="shared" ca="1" si="403"/>
        <v>#N/A</v>
      </c>
      <c r="AE895" s="377" t="e">
        <f t="shared" ca="1" si="382"/>
        <v>#N/A</v>
      </c>
      <c r="AF895" s="344"/>
      <c r="AG895" s="359">
        <f t="shared" ca="1" si="404"/>
        <v>3.357711015338217</v>
      </c>
      <c r="AH895" s="357">
        <f t="shared" ca="1" si="405"/>
        <v>-6.3429942125431138</v>
      </c>
    </row>
    <row r="896" spans="1:34" x14ac:dyDescent="0.25">
      <c r="A896" s="402">
        <f t="shared" ca="1" si="383"/>
        <v>0.1</v>
      </c>
      <c r="B896" s="357">
        <f t="shared" ca="1" si="384"/>
        <v>44.200000000000294</v>
      </c>
      <c r="C896" s="342"/>
      <c r="D896" s="359">
        <f t="shared" ca="1" si="385"/>
        <v>-0.94391129686965081</v>
      </c>
      <c r="E896" s="360">
        <f t="shared" ca="1" si="386"/>
        <v>-3.5004132374024826</v>
      </c>
      <c r="F896" s="357">
        <f t="shared" ca="1" si="387"/>
        <v>3.6254463682339413</v>
      </c>
      <c r="G896" s="359">
        <f t="shared" ca="1" si="388"/>
        <v>23.562186872461908</v>
      </c>
      <c r="H896" s="360">
        <f t="shared" ca="1" si="389"/>
        <v>-158.482730174615</v>
      </c>
      <c r="I896" s="357">
        <f t="shared" ca="1" si="390"/>
        <v>160.22469352073244</v>
      </c>
      <c r="J896" s="359">
        <f t="shared" ca="1" si="391"/>
        <v>1670.8120021044276</v>
      </c>
      <c r="K896" s="360">
        <f t="shared" ca="1" si="392"/>
        <v>507.30813278036345</v>
      </c>
      <c r="L896" s="357">
        <f t="shared" ca="1" si="377"/>
        <v>1746.1312344612888</v>
      </c>
      <c r="M896" s="359">
        <f t="shared" ca="1" si="393"/>
        <v>-1.4232039125320872</v>
      </c>
      <c r="N896" s="357">
        <f t="shared" ca="1" si="394"/>
        <v>-81.543577574594565</v>
      </c>
      <c r="O896" s="343"/>
      <c r="P896" s="363">
        <f t="shared" ca="1" si="395"/>
        <v>23</v>
      </c>
      <c r="Q896" s="357">
        <f t="shared" ca="1" si="396"/>
        <v>0</v>
      </c>
      <c r="R896" s="359">
        <f t="shared" ca="1" si="397"/>
        <v>0</v>
      </c>
      <c r="S896" s="360">
        <f t="shared" ca="1" si="398"/>
        <v>10.637999999999975</v>
      </c>
      <c r="T896" s="357">
        <f t="shared" ca="1" si="378"/>
        <v>104.35877999999975</v>
      </c>
      <c r="U896" s="364">
        <f t="shared" ca="1" si="379"/>
        <v>0</v>
      </c>
      <c r="V896" s="359">
        <f t="shared" ca="1" si="380"/>
        <v>1.1643920978187703</v>
      </c>
      <c r="W896" s="357">
        <f t="shared" ca="1" si="381"/>
        <v>68.258743754318033</v>
      </c>
      <c r="X896" s="343"/>
      <c r="Y896" s="367" t="str">
        <f t="shared" ca="1" si="399"/>
        <v/>
      </c>
      <c r="Z896" s="368" t="str">
        <f t="shared" ca="1" si="400"/>
        <v/>
      </c>
      <c r="AA896" s="369" t="str">
        <f t="shared" ca="1" si="401"/>
        <v/>
      </c>
      <c r="AB896" s="344"/>
      <c r="AC896" s="363" t="e">
        <f t="shared" ca="1" si="402"/>
        <v>#N/A</v>
      </c>
      <c r="AD896" s="376" t="e">
        <f t="shared" ca="1" si="403"/>
        <v>#N/A</v>
      </c>
      <c r="AE896" s="377" t="e">
        <f t="shared" ca="1" si="382"/>
        <v>#N/A</v>
      </c>
      <c r="AF896" s="344"/>
      <c r="AG896" s="359">
        <f t="shared" ca="1" si="404"/>
        <v>3.3222344006092603</v>
      </c>
      <c r="AH896" s="357">
        <f t="shared" ca="1" si="405"/>
        <v>-6.3798004397554609</v>
      </c>
    </row>
    <row r="897" spans="1:34" x14ac:dyDescent="0.25">
      <c r="A897" s="402">
        <f t="shared" ca="1" si="383"/>
        <v>0.1</v>
      </c>
      <c r="B897" s="357">
        <f t="shared" ca="1" si="384"/>
        <v>44.300000000000296</v>
      </c>
      <c r="C897" s="342"/>
      <c r="D897" s="359">
        <f t="shared" ca="1" si="385"/>
        <v>-0.94359243793376502</v>
      </c>
      <c r="E897" s="360">
        <f t="shared" ca="1" si="386"/>
        <v>-3.4632586493216735</v>
      </c>
      <c r="F897" s="357">
        <f t="shared" ca="1" si="387"/>
        <v>3.5895023556235715</v>
      </c>
      <c r="G897" s="359">
        <f t="shared" ca="1" si="388"/>
        <v>23.46782762866853</v>
      </c>
      <c r="H897" s="360">
        <f t="shared" ca="1" si="389"/>
        <v>-158.82905603954717</v>
      </c>
      <c r="I897" s="357">
        <f t="shared" ca="1" si="390"/>
        <v>160.55344274110882</v>
      </c>
      <c r="J897" s="359">
        <f t="shared" ca="1" si="391"/>
        <v>1673.1635028294841</v>
      </c>
      <c r="K897" s="360">
        <f t="shared" ca="1" si="392"/>
        <v>491.44254346965533</v>
      </c>
      <c r="L897" s="357">
        <f t="shared" ca="1" si="377"/>
        <v>1743.8439955261344</v>
      </c>
      <c r="M897" s="359">
        <f t="shared" ca="1" si="393"/>
        <v>-1.4241024487553633</v>
      </c>
      <c r="N897" s="357">
        <f t="shared" ca="1" si="394"/>
        <v>-81.595059907927919</v>
      </c>
      <c r="O897" s="343"/>
      <c r="P897" s="363">
        <f t="shared" ca="1" si="395"/>
        <v>23</v>
      </c>
      <c r="Q897" s="357">
        <f t="shared" ca="1" si="396"/>
        <v>0</v>
      </c>
      <c r="R897" s="359">
        <f t="shared" ca="1" si="397"/>
        <v>0</v>
      </c>
      <c r="S897" s="360">
        <f t="shared" ca="1" si="398"/>
        <v>10.637999999999975</v>
      </c>
      <c r="T897" s="357">
        <f t="shared" ca="1" si="378"/>
        <v>104.35877999999975</v>
      </c>
      <c r="U897" s="364">
        <f t="shared" ca="1" si="379"/>
        <v>0</v>
      </c>
      <c r="V897" s="359">
        <f t="shared" ca="1" si="380"/>
        <v>1.1662420951357391</v>
      </c>
      <c r="W897" s="357">
        <f t="shared" ca="1" si="381"/>
        <v>68.648033501012449</v>
      </c>
      <c r="X897" s="343"/>
      <c r="Y897" s="367" t="str">
        <f t="shared" ca="1" si="399"/>
        <v/>
      </c>
      <c r="Z897" s="368" t="str">
        <f t="shared" ca="1" si="400"/>
        <v/>
      </c>
      <c r="AA897" s="369" t="str">
        <f t="shared" ca="1" si="401"/>
        <v/>
      </c>
      <c r="AB897" s="344"/>
      <c r="AC897" s="363" t="e">
        <f t="shared" ca="1" si="402"/>
        <v>#N/A</v>
      </c>
      <c r="AD897" s="376" t="e">
        <f t="shared" ca="1" si="403"/>
        <v>#N/A</v>
      </c>
      <c r="AE897" s="377" t="e">
        <f t="shared" ca="1" si="382"/>
        <v>#N/A</v>
      </c>
      <c r="AF897" s="344"/>
      <c r="AG897" s="359">
        <f t="shared" ca="1" si="404"/>
        <v>3.2868440757739164</v>
      </c>
      <c r="AH897" s="357">
        <f t="shared" ca="1" si="405"/>
        <v>-6.4165015749500087</v>
      </c>
    </row>
    <row r="898" spans="1:34" x14ac:dyDescent="0.25">
      <c r="A898" s="402">
        <f t="shared" ca="1" si="383"/>
        <v>0.1</v>
      </c>
      <c r="B898" s="357">
        <f t="shared" ca="1" si="384"/>
        <v>44.400000000000297</v>
      </c>
      <c r="C898" s="342"/>
      <c r="D898" s="359">
        <f t="shared" ca="1" si="385"/>
        <v>-0.94323820255618263</v>
      </c>
      <c r="E898" s="360">
        <f t="shared" ca="1" si="386"/>
        <v>-3.426212130797146</v>
      </c>
      <c r="F898" s="357">
        <f t="shared" ca="1" si="387"/>
        <v>3.5536780765824778</v>
      </c>
      <c r="G898" s="359">
        <f t="shared" ca="1" si="388"/>
        <v>23.373503808412913</v>
      </c>
      <c r="H898" s="360">
        <f t="shared" ca="1" si="389"/>
        <v>-159.17167725262689</v>
      </c>
      <c r="I898" s="357">
        <f t="shared" ca="1" si="390"/>
        <v>160.87866085872395</v>
      </c>
      <c r="J898" s="359">
        <f t="shared" ca="1" si="391"/>
        <v>1675.5055694013381</v>
      </c>
      <c r="K898" s="360">
        <f t="shared" ca="1" si="392"/>
        <v>475.54250680504663</v>
      </c>
      <c r="L898" s="357">
        <f t="shared" ca="1" si="377"/>
        <v>1741.6829759957263</v>
      </c>
      <c r="M898" s="359">
        <f t="shared" ca="1" si="393"/>
        <v>-1.4249937487202411</v>
      </c>
      <c r="N898" s="357">
        <f t="shared" ca="1" si="394"/>
        <v>-81.646127634195565</v>
      </c>
      <c r="O898" s="343"/>
      <c r="P898" s="363">
        <f t="shared" ca="1" si="395"/>
        <v>23</v>
      </c>
      <c r="Q898" s="357">
        <f t="shared" ca="1" si="396"/>
        <v>0</v>
      </c>
      <c r="R898" s="359">
        <f t="shared" ca="1" si="397"/>
        <v>0</v>
      </c>
      <c r="S898" s="360">
        <f t="shared" ca="1" si="398"/>
        <v>10.637999999999975</v>
      </c>
      <c r="T898" s="357">
        <f t="shared" ca="1" si="378"/>
        <v>104.35877999999975</v>
      </c>
      <c r="U898" s="364">
        <f t="shared" ca="1" si="379"/>
        <v>0</v>
      </c>
      <c r="V898" s="359">
        <f t="shared" ca="1" si="380"/>
        <v>1.1680989854708295</v>
      </c>
      <c r="W898" s="357">
        <f t="shared" ca="1" si="381"/>
        <v>69.036167623984525</v>
      </c>
      <c r="X898" s="343"/>
      <c r="Y898" s="367" t="str">
        <f t="shared" ca="1" si="399"/>
        <v/>
      </c>
      <c r="Z898" s="368" t="str">
        <f t="shared" ca="1" si="400"/>
        <v/>
      </c>
      <c r="AA898" s="369" t="str">
        <f t="shared" ca="1" si="401"/>
        <v/>
      </c>
      <c r="AB898" s="344"/>
      <c r="AC898" s="363" t="e">
        <f t="shared" ca="1" si="402"/>
        <v>#N/A</v>
      </c>
      <c r="AD898" s="376" t="e">
        <f t="shared" ca="1" si="403"/>
        <v>#N/A</v>
      </c>
      <c r="AE898" s="377" t="e">
        <f t="shared" ca="1" si="382"/>
        <v>#N/A</v>
      </c>
      <c r="AF898" s="344"/>
      <c r="AG898" s="359">
        <f t="shared" ca="1" si="404"/>
        <v>3.2515421535817719</v>
      </c>
      <c r="AH898" s="357">
        <f t="shared" ca="1" si="405"/>
        <v>-6.453095835778587</v>
      </c>
    </row>
    <row r="899" spans="1:34" x14ac:dyDescent="0.25">
      <c r="A899" s="402">
        <f t="shared" ca="1" si="383"/>
        <v>0.1</v>
      </c>
      <c r="B899" s="357">
        <f t="shared" ca="1" si="384"/>
        <v>44.500000000000298</v>
      </c>
      <c r="C899" s="342"/>
      <c r="D899" s="359">
        <f t="shared" ca="1" si="385"/>
        <v>-0.94284882952176929</v>
      </c>
      <c r="E899" s="360">
        <f t="shared" ca="1" si="386"/>
        <v>-3.3892754556277032</v>
      </c>
      <c r="F899" s="357">
        <f t="shared" ca="1" si="387"/>
        <v>3.5179755583930579</v>
      </c>
      <c r="G899" s="359">
        <f t="shared" ca="1" si="388"/>
        <v>23.279218925460736</v>
      </c>
      <c r="H899" s="360">
        <f t="shared" ca="1" si="389"/>
        <v>-159.51060479818966</v>
      </c>
      <c r="I899" s="357">
        <f t="shared" ca="1" si="390"/>
        <v>161.20035693776791</v>
      </c>
      <c r="J899" s="359">
        <f t="shared" ca="1" si="391"/>
        <v>1677.8382055380318</v>
      </c>
      <c r="K899" s="360">
        <f t="shared" ca="1" si="392"/>
        <v>459.6083927025058</v>
      </c>
      <c r="L899" s="357">
        <f t="shared" ca="1" si="377"/>
        <v>1739.6496539837162</v>
      </c>
      <c r="M899" s="359">
        <f t="shared" ca="1" si="393"/>
        <v>-1.4258779037920606</v>
      </c>
      <c r="N899" s="357">
        <f t="shared" ca="1" si="394"/>
        <v>-81.696785988245907</v>
      </c>
      <c r="O899" s="343"/>
      <c r="P899" s="363">
        <f t="shared" ca="1" si="395"/>
        <v>23</v>
      </c>
      <c r="Q899" s="357">
        <f t="shared" ca="1" si="396"/>
        <v>0</v>
      </c>
      <c r="R899" s="359">
        <f t="shared" ca="1" si="397"/>
        <v>0</v>
      </c>
      <c r="S899" s="360">
        <f t="shared" ca="1" si="398"/>
        <v>10.637999999999975</v>
      </c>
      <c r="T899" s="357">
        <f t="shared" ca="1" si="378"/>
        <v>104.35877999999975</v>
      </c>
      <c r="U899" s="364">
        <f t="shared" ca="1" si="379"/>
        <v>0</v>
      </c>
      <c r="V899" s="359">
        <f t="shared" ca="1" si="380"/>
        <v>1.1699627509721655</v>
      </c>
      <c r="W899" s="357">
        <f t="shared" ca="1" si="381"/>
        <v>69.423127696127779</v>
      </c>
      <c r="X899" s="343"/>
      <c r="Y899" s="367" t="str">
        <f t="shared" ca="1" si="399"/>
        <v/>
      </c>
      <c r="Z899" s="368" t="str">
        <f t="shared" ca="1" si="400"/>
        <v/>
      </c>
      <c r="AA899" s="369" t="str">
        <f t="shared" ca="1" si="401"/>
        <v/>
      </c>
      <c r="AB899" s="344"/>
      <c r="AC899" s="363" t="e">
        <f t="shared" ca="1" si="402"/>
        <v>#N/A</v>
      </c>
      <c r="AD899" s="376" t="e">
        <f t="shared" ca="1" si="403"/>
        <v>#N/A</v>
      </c>
      <c r="AE899" s="377" t="e">
        <f t="shared" ca="1" si="382"/>
        <v>#N/A</v>
      </c>
      <c r="AF899" s="344"/>
      <c r="AG899" s="359">
        <f t="shared" ca="1" si="404"/>
        <v>3.2163307145515603</v>
      </c>
      <c r="AH899" s="357">
        <f t="shared" ca="1" si="405"/>
        <v>-6.4895814649355792</v>
      </c>
    </row>
    <row r="900" spans="1:34" x14ac:dyDescent="0.25">
      <c r="A900" s="402">
        <f t="shared" ca="1" si="383"/>
        <v>0.1</v>
      </c>
      <c r="B900" s="357">
        <f t="shared" ca="1" si="384"/>
        <v>44.6000000000003</v>
      </c>
      <c r="C900" s="342"/>
      <c r="D900" s="359">
        <f t="shared" ca="1" si="385"/>
        <v>-0.94242455976464401</v>
      </c>
      <c r="E900" s="360">
        <f t="shared" ca="1" si="386"/>
        <v>-3.3524503723227568</v>
      </c>
      <c r="F900" s="357">
        <f t="shared" ca="1" si="387"/>
        <v>3.4823968110677126</v>
      </c>
      <c r="G900" s="359">
        <f t="shared" ca="1" si="388"/>
        <v>23.184976469484273</v>
      </c>
      <c r="H900" s="360">
        <f t="shared" ca="1" si="389"/>
        <v>-159.84584983542194</v>
      </c>
      <c r="I900" s="357">
        <f t="shared" ca="1" si="390"/>
        <v>161.51854024692895</v>
      </c>
      <c r="J900" s="359">
        <f t="shared" ca="1" si="391"/>
        <v>1680.1614153077792</v>
      </c>
      <c r="K900" s="360">
        <f t="shared" ca="1" si="392"/>
        <v>443.6405699708252</v>
      </c>
      <c r="L900" s="357">
        <f t="shared" ref="L900:L963" ca="1" si="406">SQRT(pos_x^2+pos_z^2)</f>
        <v>1737.7454752676176</v>
      </c>
      <c r="M900" s="359">
        <f t="shared" ca="1" si="393"/>
        <v>-1.4267550037447916</v>
      </c>
      <c r="N900" s="357">
        <f t="shared" ca="1" si="394"/>
        <v>-81.747040113748525</v>
      </c>
      <c r="O900" s="343"/>
      <c r="P900" s="363">
        <f t="shared" ca="1" si="395"/>
        <v>23</v>
      </c>
      <c r="Q900" s="357">
        <f t="shared" ca="1" si="396"/>
        <v>0</v>
      </c>
      <c r="R900" s="359">
        <f t="shared" ca="1" si="397"/>
        <v>0</v>
      </c>
      <c r="S900" s="360">
        <f t="shared" ca="1" si="398"/>
        <v>10.637999999999975</v>
      </c>
      <c r="T900" s="357">
        <f t="shared" ref="T900:T963" ca="1" si="407">m*g</f>
        <v>104.35877999999975</v>
      </c>
      <c r="U900" s="364">
        <f t="shared" ref="U900:U963" ca="1" si="408">IF(pos_xz&lt;L_rampe,Poids*COS(Beta),0)</f>
        <v>0</v>
      </c>
      <c r="V900" s="359">
        <f t="shared" ref="V900:V963" ca="1" si="409">Rho_moyen*(20000-Alt_rampe-pos_z)/(20000+Alt_rampe+pos_z)</f>
        <v>1.1718333737961979</v>
      </c>
      <c r="W900" s="357">
        <f t="shared" ref="W900:W963" ca="1" si="410">1/2*Rho*Sref*Cx*vit_xz^2</f>
        <v>69.808895558095628</v>
      </c>
      <c r="X900" s="343"/>
      <c r="Y900" s="367" t="str">
        <f t="shared" ca="1" si="399"/>
        <v/>
      </c>
      <c r="Z900" s="368" t="str">
        <f t="shared" ca="1" si="400"/>
        <v/>
      </c>
      <c r="AA900" s="369" t="str">
        <f t="shared" ca="1" si="401"/>
        <v/>
      </c>
      <c r="AB900" s="344"/>
      <c r="AC900" s="363" t="e">
        <f t="shared" ca="1" si="402"/>
        <v>#N/A</v>
      </c>
      <c r="AD900" s="376" t="e">
        <f t="shared" ca="1" si="403"/>
        <v>#N/A</v>
      </c>
      <c r="AE900" s="377" t="e">
        <f t="shared" ref="AE900:AE963" ca="1" si="411">IF(t&lt;T_para, pos_z, NA())</f>
        <v>#N/A</v>
      </c>
      <c r="AF900" s="344"/>
      <c r="AG900" s="359">
        <f t="shared" ca="1" si="404"/>
        <v>3.1812118070904782</v>
      </c>
      <c r="AH900" s="357">
        <f t="shared" ca="1" si="405"/>
        <v>-6.5259567302244728</v>
      </c>
    </row>
    <row r="901" spans="1:34" x14ac:dyDescent="0.25">
      <c r="A901" s="402">
        <f t="shared" ref="A901:A964" ca="1" si="412">IF(B900+0.01&lt;=T_ini+ROUNDUP(Temps_fin_propu,0), 0.01, IF(K900&gt;0, 0.1, 0.0001))</f>
        <v>0.1</v>
      </c>
      <c r="B901" s="357">
        <f t="shared" ref="B901:B964" ca="1" si="413">B900+pas</f>
        <v>44.700000000000301</v>
      </c>
      <c r="C901" s="342"/>
      <c r="D901" s="359">
        <f t="shared" ref="D901:D964" ca="1" si="414">IF(AND(L900&lt;L_rampe,Poussee&lt;Poids*SIN(M900)),0,(-W900+Poussee)/m*COS(M900)-U900/m*SIN(M900))</f>
        <v>-0.9419656363119141</v>
      </c>
      <c r="E901" s="360">
        <f t="shared" ref="E901:E964" ca="1" si="415">IF(AND(L900&lt;L_rampe,Poussee&lt;Poids*SIN(M900)),0,(-W900+Poussee)/m*SIN(M900)+U900/m*COS(M900)-Poids/m)</f>
        <v>-3.3157386040387404</v>
      </c>
      <c r="F901" s="357">
        <f t="shared" ref="F901:F964" ca="1" si="416">SQRT(acc_x^2+acc_z^2)</f>
        <v>3.446943827552936</v>
      </c>
      <c r="G901" s="359">
        <f t="shared" ref="G901:G964" ca="1" si="417">G900+acc_x*pas</f>
        <v>23.090779905853083</v>
      </c>
      <c r="H901" s="360">
        <f t="shared" ref="H901:H964" ca="1" si="418">H900+acc_z*pas</f>
        <v>-160.17742369582581</v>
      </c>
      <c r="I901" s="357">
        <f t="shared" ref="I901:I964" ca="1" si="419">SQRT(vit_x^2+vit_z^2)</f>
        <v>161.83322025620279</v>
      </c>
      <c r="J901" s="359">
        <f t="shared" ref="J901:J964" ca="1" si="420">J900+0.5*(vit_x+G900)*pas*(K900&gt;=0)</f>
        <v>1682.4752031265461</v>
      </c>
      <c r="K901" s="360">
        <f t="shared" ref="K901:K964" ca="1" si="421">K900+0.5*(vit_z+H900)*pas</f>
        <v>427.63940629426281</v>
      </c>
      <c r="L901" s="357">
        <f t="shared" ca="1" si="406"/>
        <v>1735.9718520043527</v>
      </c>
      <c r="M901" s="359">
        <f t="shared" ref="M901:M964" ca="1" si="422">IF(AND(L900&gt;L_rampe,G901&gt;0),ATAN2(G901,H901),$M$4)</f>
        <v>-1.4276251367947783</v>
      </c>
      <c r="N901" s="357">
        <f t="shared" ref="N901:N964" ca="1" si="423">DEGREES(Beta)</f>
        <v>-81.796895065127615</v>
      </c>
      <c r="O901" s="343"/>
      <c r="P901" s="363">
        <f t="shared" ref="P901:P964" ca="1" si="424">MATCH(t-pas/2-T_ini,CdP_t)</f>
        <v>23</v>
      </c>
      <c r="Q901" s="357">
        <f t="shared" ref="Q901:Q964" ca="1" si="425">(INDEX(CdP,2,i_P+1)-INDEX(CdP,2,i_P+0))/(INDEX(CdP,1,i_P+1)-INDEX(CdP,1,i_P+0))*(t-pas/2-T_ini-INDEX(CdP,1,i_P+0))+INDEX(CdP,2,i_P+0)</f>
        <v>0</v>
      </c>
      <c r="R901" s="359">
        <f t="shared" ref="R901:R964" ca="1" si="426">Poussee/(g*ISP)</f>
        <v>0</v>
      </c>
      <c r="S901" s="360">
        <f t="shared" ref="S901:S964" ca="1" si="427">S900-Débit*pas</f>
        <v>10.637999999999975</v>
      </c>
      <c r="T901" s="357">
        <f t="shared" ca="1" si="407"/>
        <v>104.35877999999975</v>
      </c>
      <c r="U901" s="364">
        <f t="shared" ca="1" si="408"/>
        <v>0</v>
      </c>
      <c r="V901" s="359">
        <f t="shared" ca="1" si="409"/>
        <v>1.1737108361087423</v>
      </c>
      <c r="W901" s="357">
        <f t="shared" ca="1" si="410"/>
        <v>70.19345331889042</v>
      </c>
      <c r="X901" s="343"/>
      <c r="Y901" s="367" t="str">
        <f t="shared" ref="Y901:Y964" ca="1" si="428">IF(AND(pos_z&lt;=0,K900&gt;0),"Impact balistique","") &amp; IF(AND(H902&lt;0,vit_z&gt;=0),"Apogée","") &amp; IF(AND(Poussee=0,Q900&gt;0),"Fin de propulsion","") &amp; IF(AND(L902&gt;L_rampe,pos_xz&lt;=L_rampe),"Sortie de rampe","")</f>
        <v/>
      </c>
      <c r="Z901" s="368" t="str">
        <f t="shared" ref="Z901:Z964" ca="1" si="429">IF(ABS(t-T_para)&lt;pas/2,"Para","")</f>
        <v/>
      </c>
      <c r="AA901" s="369" t="str">
        <f t="shared" ref="AA901:AA964" ca="1" si="430">IF(ABS(t-T_satellite)&lt;pas/2,"Satellite","")</f>
        <v/>
      </c>
      <c r="AB901" s="344"/>
      <c r="AC901" s="363" t="e">
        <f t="shared" ref="AC901:AC964" ca="1" si="431">IF(ABS(t-ROUND(t,0))&lt;0.001,t,NA())</f>
        <v>#N/A</v>
      </c>
      <c r="AD901" s="376" t="e">
        <f t="shared" ref="AD901:AD964" ca="1" si="432">IF(ABS(t-ROUND(t,0))&lt;0.001,pos_x,NA())</f>
        <v>#N/A</v>
      </c>
      <c r="AE901" s="377" t="e">
        <f t="shared" ca="1" si="411"/>
        <v>#N/A</v>
      </c>
      <c r="AF901" s="344"/>
      <c r="AG901" s="359">
        <f t="shared" ref="AG901:AG964" ca="1" si="433">IF(AND(L900&lt;L_rampe,Poussee&lt;Poids*SIN(M900)),0,(-W900+Poussee)/m-Poids*SIN(M900)/m)</f>
        <v>3.1461874476134373</v>
      </c>
      <c r="AH901" s="357">
        <f t="shared" ref="AH901:AH964" ca="1" si="434">IF(AND(L900&lt;L_rampe,Poussee&lt;Poids*SIN(M900)), g*SIN(M900), (-W900+Poussee)/m)</f>
        <v>-6.5622199246188941</v>
      </c>
    </row>
    <row r="902" spans="1:34" x14ac:dyDescent="0.25">
      <c r="A902" s="402">
        <f t="shared" ca="1" si="412"/>
        <v>0.1</v>
      </c>
      <c r="B902" s="357">
        <f t="shared" ca="1" si="413"/>
        <v>44.800000000000303</v>
      </c>
      <c r="C902" s="342"/>
      <c r="D902" s="359">
        <f t="shared" ca="1" si="414"/>
        <v>-0.94147230422754746</v>
      </c>
      <c r="E902" s="360">
        <f t="shared" ca="1" si="415"/>
        <v>-3.2791418485212915</v>
      </c>
      <c r="F902" s="357">
        <f t="shared" ca="1" si="416"/>
        <v>3.4116185839497297</v>
      </c>
      <c r="G902" s="359">
        <f t="shared" ca="1" si="417"/>
        <v>22.996632675430327</v>
      </c>
      <c r="H902" s="360">
        <f t="shared" ca="1" si="418"/>
        <v>-160.50533788067793</v>
      </c>
      <c r="I902" s="357">
        <f t="shared" ca="1" si="419"/>
        <v>162.14440663371417</v>
      </c>
      <c r="J902" s="359">
        <f t="shared" ca="1" si="420"/>
        <v>1684.7795737556103</v>
      </c>
      <c r="K902" s="360">
        <f t="shared" ca="1" si="421"/>
        <v>411.6052682154376</v>
      </c>
      <c r="L902" s="357">
        <f t="shared" ca="1" si="406"/>
        <v>1734.3301614648919</v>
      </c>
      <c r="M902" s="359">
        <f t="shared" ca="1" si="422"/>
        <v>-1.4284883896336422</v>
      </c>
      <c r="N902" s="357">
        <f t="shared" ca="1" si="423"/>
        <v>-81.846355809447203</v>
      </c>
      <c r="O902" s="343"/>
      <c r="P902" s="363">
        <f t="shared" ca="1" si="424"/>
        <v>23</v>
      </c>
      <c r="Q902" s="357">
        <f t="shared" ca="1" si="425"/>
        <v>0</v>
      </c>
      <c r="R902" s="359">
        <f t="shared" ca="1" si="426"/>
        <v>0</v>
      </c>
      <c r="S902" s="360">
        <f t="shared" ca="1" si="427"/>
        <v>10.637999999999975</v>
      </c>
      <c r="T902" s="357">
        <f t="shared" ca="1" si="407"/>
        <v>104.35877999999975</v>
      </c>
      <c r="U902" s="364">
        <f t="shared" ca="1" si="408"/>
        <v>0</v>
      </c>
      <c r="V902" s="359">
        <f t="shared" ca="1" si="409"/>
        <v>1.1755951200860164</v>
      </c>
      <c r="W902" s="357">
        <f t="shared" ca="1" si="410"/>
        <v>70.576783356394472</v>
      </c>
      <c r="X902" s="343"/>
      <c r="Y902" s="367" t="str">
        <f t="shared" ca="1" si="428"/>
        <v/>
      </c>
      <c r="Z902" s="368" t="str">
        <f t="shared" ca="1" si="429"/>
        <v/>
      </c>
      <c r="AA902" s="369" t="str">
        <f t="shared" ca="1" si="430"/>
        <v/>
      </c>
      <c r="AB902" s="344"/>
      <c r="AC902" s="363" t="e">
        <f t="shared" ca="1" si="431"/>
        <v>#N/A</v>
      </c>
      <c r="AD902" s="376" t="e">
        <f t="shared" ca="1" si="432"/>
        <v>#N/A</v>
      </c>
      <c r="AE902" s="377" t="e">
        <f t="shared" ca="1" si="411"/>
        <v>#N/A</v>
      </c>
      <c r="AF902" s="344"/>
      <c r="AG902" s="359">
        <f t="shared" ca="1" si="433"/>
        <v>3.1112596206626826</v>
      </c>
      <c r="AH902" s="357">
        <f t="shared" ca="1" si="434"/>
        <v>-6.5983693663179714</v>
      </c>
    </row>
    <row r="903" spans="1:34" x14ac:dyDescent="0.25">
      <c r="A903" s="402">
        <f t="shared" ca="1" si="412"/>
        <v>0.1</v>
      </c>
      <c r="B903" s="357">
        <f t="shared" ca="1" si="413"/>
        <v>44.900000000000304</v>
      </c>
      <c r="C903" s="342"/>
      <c r="D903" s="359">
        <f t="shared" ca="1" si="414"/>
        <v>-0.94094481055642476</v>
      </c>
      <c r="E903" s="360">
        <f t="shared" ca="1" si="415"/>
        <v>-3.2426617780529732</v>
      </c>
      <c r="F903" s="357">
        <f t="shared" ca="1" si="416"/>
        <v>3.3764230397506076</v>
      </c>
      <c r="G903" s="359">
        <f t="shared" ca="1" si="417"/>
        <v>22.902538194374685</v>
      </c>
      <c r="H903" s="360">
        <f t="shared" ca="1" si="418"/>
        <v>-160.82960405848323</v>
      </c>
      <c r="I903" s="357">
        <f t="shared" ca="1" si="419"/>
        <v>162.45210924254962</v>
      </c>
      <c r="J903" s="359">
        <f t="shared" ca="1" si="420"/>
        <v>1687.0745322991006</v>
      </c>
      <c r="K903" s="360">
        <f t="shared" ca="1" si="421"/>
        <v>395.53852111847954</v>
      </c>
      <c r="L903" s="357">
        <f t="shared" ca="1" si="406"/>
        <v>1732.8217447910856</v>
      </c>
      <c r="M903" s="359">
        <f t="shared" ca="1" si="422"/>
        <v>-1.4293448474603683</v>
      </c>
      <c r="N903" s="357">
        <f t="shared" ca="1" si="423"/>
        <v>-81.895427228249545</v>
      </c>
      <c r="O903" s="343"/>
      <c r="P903" s="363">
        <f t="shared" ca="1" si="424"/>
        <v>23</v>
      </c>
      <c r="Q903" s="357">
        <f t="shared" ca="1" si="425"/>
        <v>0</v>
      </c>
      <c r="R903" s="359">
        <f t="shared" ca="1" si="426"/>
        <v>0</v>
      </c>
      <c r="S903" s="360">
        <f t="shared" ca="1" si="427"/>
        <v>10.637999999999975</v>
      </c>
      <c r="T903" s="357">
        <f t="shared" ca="1" si="407"/>
        <v>104.35877999999975</v>
      </c>
      <c r="U903" s="364">
        <f t="shared" ca="1" si="408"/>
        <v>0</v>
      </c>
      <c r="V903" s="359">
        <f t="shared" ca="1" si="409"/>
        <v>1.1774862079156745</v>
      </c>
      <c r="W903" s="357">
        <f t="shared" ca="1" si="410"/>
        <v>70.958868317841805</v>
      </c>
      <c r="X903" s="343"/>
      <c r="Y903" s="367" t="str">
        <f t="shared" ca="1" si="428"/>
        <v/>
      </c>
      <c r="Z903" s="368" t="str">
        <f t="shared" ca="1" si="429"/>
        <v/>
      </c>
      <c r="AA903" s="369" t="str">
        <f t="shared" ca="1" si="430"/>
        <v/>
      </c>
      <c r="AB903" s="344"/>
      <c r="AC903" s="363" t="e">
        <f t="shared" ca="1" si="431"/>
        <v>#N/A</v>
      </c>
      <c r="AD903" s="376" t="e">
        <f t="shared" ca="1" si="432"/>
        <v>#N/A</v>
      </c>
      <c r="AE903" s="377" t="e">
        <f t="shared" ca="1" si="411"/>
        <v>#N/A</v>
      </c>
      <c r="AF903" s="344"/>
      <c r="AG903" s="359">
        <f t="shared" ca="1" si="433"/>
        <v>3.0764302790276741</v>
      </c>
      <c r="AH903" s="357">
        <f t="shared" ca="1" si="434"/>
        <v>-6.6344033987962625</v>
      </c>
    </row>
    <row r="904" spans="1:34" x14ac:dyDescent="0.25">
      <c r="A904" s="402">
        <f t="shared" ca="1" si="412"/>
        <v>0.1</v>
      </c>
      <c r="B904" s="357">
        <f t="shared" ca="1" si="413"/>
        <v>45.000000000000306</v>
      </c>
      <c r="C904" s="342"/>
      <c r="D904" s="359">
        <f t="shared" ca="1" si="414"/>
        <v>-0.94038340426854694</v>
      </c>
      <c r="E904" s="360">
        <f t="shared" ca="1" si="415"/>
        <v>-3.2063000394066892</v>
      </c>
      <c r="F904" s="357">
        <f t="shared" ca="1" si="416"/>
        <v>3.3413591380938144</v>
      </c>
      <c r="G904" s="359">
        <f t="shared" ca="1" si="417"/>
        <v>22.808499853947829</v>
      </c>
      <c r="H904" s="360">
        <f t="shared" ca="1" si="418"/>
        <v>-161.15023406242389</v>
      </c>
      <c r="I904" s="357">
        <f t="shared" ca="1" si="419"/>
        <v>162.75633813760231</v>
      </c>
      <c r="J904" s="359">
        <f t="shared" ca="1" si="420"/>
        <v>1689.3600842015167</v>
      </c>
      <c r="K904" s="360">
        <f t="shared" ca="1" si="421"/>
        <v>379.43952921243419</v>
      </c>
      <c r="L904" s="357">
        <f t="shared" ca="1" si="406"/>
        <v>1731.4479057777939</v>
      </c>
      <c r="M904" s="359">
        <f t="shared" ca="1" si="422"/>
        <v>-1.4301945940125964</v>
      </c>
      <c r="N904" s="357">
        <f t="shared" ca="1" si="423"/>
        <v>-81.944114119348015</v>
      </c>
      <c r="O904" s="343"/>
      <c r="P904" s="363">
        <f t="shared" ca="1" si="424"/>
        <v>23</v>
      </c>
      <c r="Q904" s="357">
        <f t="shared" ca="1" si="425"/>
        <v>0</v>
      </c>
      <c r="R904" s="359">
        <f t="shared" ca="1" si="426"/>
        <v>0</v>
      </c>
      <c r="S904" s="360">
        <f t="shared" ca="1" si="427"/>
        <v>10.637999999999975</v>
      </c>
      <c r="T904" s="357">
        <f t="shared" ca="1" si="407"/>
        <v>104.35877999999975</v>
      </c>
      <c r="U904" s="364">
        <f t="shared" ca="1" si="408"/>
        <v>0</v>
      </c>
      <c r="V904" s="359">
        <f t="shared" ca="1" si="409"/>
        <v>1.1793840817978378</v>
      </c>
      <c r="W904" s="357">
        <f t="shared" ca="1" si="410"/>
        <v>71.33969112023199</v>
      </c>
      <c r="X904" s="343"/>
      <c r="Y904" s="367" t="str">
        <f t="shared" ca="1" si="428"/>
        <v/>
      </c>
      <c r="Z904" s="368" t="str">
        <f t="shared" ca="1" si="429"/>
        <v/>
      </c>
      <c r="AA904" s="369" t="str">
        <f t="shared" ca="1" si="430"/>
        <v/>
      </c>
      <c r="AB904" s="344"/>
      <c r="AC904" s="363">
        <f t="shared" ca="1" si="431"/>
        <v>45.000000000000306</v>
      </c>
      <c r="AD904" s="376">
        <f t="shared" ca="1" si="432"/>
        <v>1689.3600842015167</v>
      </c>
      <c r="AE904" s="377" t="e">
        <f t="shared" ca="1" si="411"/>
        <v>#N/A</v>
      </c>
      <c r="AF904" s="344"/>
      <c r="AG904" s="359">
        <f t="shared" ca="1" si="433"/>
        <v>3.0417013438655749</v>
      </c>
      <c r="AH904" s="357">
        <f t="shared" ca="1" si="434"/>
        <v>-6.6703203908480893</v>
      </c>
    </row>
    <row r="905" spans="1:34" x14ac:dyDescent="0.25">
      <c r="A905" s="402">
        <f t="shared" ca="1" si="412"/>
        <v>0.1</v>
      </c>
      <c r="B905" s="357">
        <f t="shared" ca="1" si="413"/>
        <v>45.100000000000307</v>
      </c>
      <c r="C905" s="342"/>
      <c r="D905" s="359">
        <f t="shared" ca="1" si="414"/>
        <v>-0.93978833620343682</v>
      </c>
      <c r="E905" s="360">
        <f t="shared" ca="1" si="415"/>
        <v>-3.1700582538046103</v>
      </c>
      <c r="F905" s="357">
        <f t="shared" ca="1" si="416"/>
        <v>3.3064288060351097</v>
      </c>
      <c r="G905" s="359">
        <f t="shared" ca="1" si="417"/>
        <v>22.714521020327485</v>
      </c>
      <c r="H905" s="360">
        <f t="shared" ca="1" si="418"/>
        <v>-161.46723988780434</v>
      </c>
      <c r="I905" s="357">
        <f t="shared" ca="1" si="419"/>
        <v>163.05710356242886</v>
      </c>
      <c r="J905" s="359">
        <f t="shared" ca="1" si="420"/>
        <v>1691.6362352452304</v>
      </c>
      <c r="K905" s="360">
        <f t="shared" ca="1" si="421"/>
        <v>363.3086555149228</v>
      </c>
      <c r="L905" s="357">
        <f t="shared" ca="1" si="406"/>
        <v>1730.2099096834227</v>
      </c>
      <c r="M905" s="359">
        <f t="shared" ca="1" si="422"/>
        <v>-1.4310377115971418</v>
      </c>
      <c r="N905" s="357">
        <f t="shared" ca="1" si="423"/>
        <v>-81.992421198575727</v>
      </c>
      <c r="O905" s="343"/>
      <c r="P905" s="363">
        <f t="shared" ca="1" si="424"/>
        <v>23</v>
      </c>
      <c r="Q905" s="357">
        <f t="shared" ca="1" si="425"/>
        <v>0</v>
      </c>
      <c r="R905" s="359">
        <f t="shared" ca="1" si="426"/>
        <v>0</v>
      </c>
      <c r="S905" s="360">
        <f t="shared" ca="1" si="427"/>
        <v>10.637999999999975</v>
      </c>
      <c r="T905" s="357">
        <f t="shared" ca="1" si="407"/>
        <v>104.35877999999975</v>
      </c>
      <c r="U905" s="364">
        <f t="shared" ca="1" si="408"/>
        <v>0</v>
      </c>
      <c r="V905" s="359">
        <f t="shared" ca="1" si="409"/>
        <v>1.1812887239461207</v>
      </c>
      <c r="W905" s="357">
        <f t="shared" ca="1" si="410"/>
        <v>71.719234950686044</v>
      </c>
      <c r="X905" s="343"/>
      <c r="Y905" s="367" t="str">
        <f t="shared" ca="1" si="428"/>
        <v/>
      </c>
      <c r="Z905" s="368" t="str">
        <f t="shared" ca="1" si="429"/>
        <v/>
      </c>
      <c r="AA905" s="369" t="str">
        <f t="shared" ca="1" si="430"/>
        <v/>
      </c>
      <c r="AB905" s="344"/>
      <c r="AC905" s="363" t="e">
        <f t="shared" ca="1" si="431"/>
        <v>#N/A</v>
      </c>
      <c r="AD905" s="376" t="e">
        <f t="shared" ca="1" si="432"/>
        <v>#N/A</v>
      </c>
      <c r="AE905" s="377" t="e">
        <f t="shared" ca="1" si="411"/>
        <v>#N/A</v>
      </c>
      <c r="AF905" s="344"/>
      <c r="AG905" s="359">
        <f t="shared" ca="1" si="433"/>
        <v>3.0070747048223279</v>
      </c>
      <c r="AH905" s="357">
        <f t="shared" ca="1" si="434"/>
        <v>-6.7061187366264488</v>
      </c>
    </row>
    <row r="906" spans="1:34" x14ac:dyDescent="0.25">
      <c r="A906" s="402">
        <f t="shared" ca="1" si="412"/>
        <v>0.1</v>
      </c>
      <c r="B906" s="357">
        <f t="shared" ca="1" si="413"/>
        <v>45.200000000000308</v>
      </c>
      <c r="C906" s="342"/>
      <c r="D906" s="359">
        <f t="shared" ca="1" si="414"/>
        <v>-0.93915985901472843</v>
      </c>
      <c r="E906" s="360">
        <f t="shared" ca="1" si="415"/>
        <v>-3.1339380168826718</v>
      </c>
      <c r="F906" s="357">
        <f t="shared" ca="1" si="416"/>
        <v>3.2716339548377134</v>
      </c>
      <c r="G906" s="359">
        <f t="shared" ca="1" si="417"/>
        <v>22.620605034426013</v>
      </c>
      <c r="H906" s="360">
        <f t="shared" ca="1" si="418"/>
        <v>-161.78063368949262</v>
      </c>
      <c r="I906" s="357">
        <f t="shared" ca="1" si="419"/>
        <v>163.35441594611788</v>
      </c>
      <c r="J906" s="359">
        <f t="shared" ca="1" si="420"/>
        <v>1693.902991547968</v>
      </c>
      <c r="K906" s="360">
        <f t="shared" ca="1" si="421"/>
        <v>347.14626183605793</v>
      </c>
      <c r="L906" s="357">
        <f t="shared" ca="1" si="406"/>
        <v>1729.1089820719526</v>
      </c>
      <c r="M906" s="359">
        <f t="shared" ca="1" si="422"/>
        <v>-1.4318742811197647</v>
      </c>
      <c r="N906" s="357">
        <f t="shared" ca="1" si="423"/>
        <v>-82.040353101491291</v>
      </c>
      <c r="O906" s="343"/>
      <c r="P906" s="363">
        <f t="shared" ca="1" si="424"/>
        <v>23</v>
      </c>
      <c r="Q906" s="357">
        <f t="shared" ca="1" si="425"/>
        <v>0</v>
      </c>
      <c r="R906" s="359">
        <f t="shared" ca="1" si="426"/>
        <v>0</v>
      </c>
      <c r="S906" s="360">
        <f t="shared" ca="1" si="427"/>
        <v>10.637999999999975</v>
      </c>
      <c r="T906" s="357">
        <f t="shared" ca="1" si="407"/>
        <v>104.35877999999975</v>
      </c>
      <c r="U906" s="364">
        <f t="shared" ca="1" si="408"/>
        <v>0</v>
      </c>
      <c r="V906" s="359">
        <f t="shared" ca="1" si="409"/>
        <v>1.1832001165886548</v>
      </c>
      <c r="W906" s="357">
        <f t="shared" ca="1" si="410"/>
        <v>72.097483266744717</v>
      </c>
      <c r="X906" s="343"/>
      <c r="Y906" s="367" t="str">
        <f t="shared" ca="1" si="428"/>
        <v/>
      </c>
      <c r="Z906" s="368" t="str">
        <f t="shared" ca="1" si="429"/>
        <v/>
      </c>
      <c r="AA906" s="369" t="str">
        <f t="shared" ca="1" si="430"/>
        <v/>
      </c>
      <c r="AB906" s="344"/>
      <c r="AC906" s="363" t="e">
        <f t="shared" ca="1" si="431"/>
        <v>#N/A</v>
      </c>
      <c r="AD906" s="376" t="e">
        <f t="shared" ca="1" si="432"/>
        <v>#N/A</v>
      </c>
      <c r="AE906" s="377" t="e">
        <f t="shared" ca="1" si="411"/>
        <v>#N/A</v>
      </c>
      <c r="AF906" s="344"/>
      <c r="AG906" s="359">
        <f t="shared" ca="1" si="433"/>
        <v>2.9725522201545376</v>
      </c>
      <c r="AH906" s="357">
        <f t="shared" ca="1" si="434"/>
        <v>-6.7417968556764629</v>
      </c>
    </row>
    <row r="907" spans="1:34" x14ac:dyDescent="0.25">
      <c r="A907" s="402">
        <f t="shared" ca="1" si="412"/>
        <v>0.1</v>
      </c>
      <c r="B907" s="357">
        <f t="shared" ca="1" si="413"/>
        <v>45.30000000000031</v>
      </c>
      <c r="C907" s="342"/>
      <c r="D907" s="359">
        <f t="shared" ca="1" si="414"/>
        <v>-0.93849822711496145</v>
      </c>
      <c r="E907" s="360">
        <f t="shared" ca="1" si="415"/>
        <v>-3.0979408986605632</v>
      </c>
      <c r="F907" s="357">
        <f t="shared" ca="1" si="416"/>
        <v>3.2369764802809033</v>
      </c>
      <c r="G907" s="359">
        <f t="shared" ca="1" si="417"/>
        <v>22.526755211714516</v>
      </c>
      <c r="H907" s="360">
        <f t="shared" ca="1" si="418"/>
        <v>-162.09042777935866</v>
      </c>
      <c r="I907" s="357">
        <f t="shared" ca="1" si="419"/>
        <v>163.64828590017066</v>
      </c>
      <c r="J907" s="359">
        <f t="shared" ca="1" si="420"/>
        <v>1696.1603595602751</v>
      </c>
      <c r="K907" s="360">
        <f t="shared" ca="1" si="421"/>
        <v>330.95270876261537</v>
      </c>
      <c r="L907" s="357">
        <f t="shared" ca="1" si="406"/>
        <v>1728.1463076895295</v>
      </c>
      <c r="M907" s="359">
        <f t="shared" ca="1" si="422"/>
        <v>-1.4327043821142142</v>
      </c>
      <c r="N907" s="357">
        <f t="shared" ca="1" si="423"/>
        <v>-82.087914385042865</v>
      </c>
      <c r="O907" s="343"/>
      <c r="P907" s="363">
        <f t="shared" ca="1" si="424"/>
        <v>23</v>
      </c>
      <c r="Q907" s="357">
        <f t="shared" ca="1" si="425"/>
        <v>0</v>
      </c>
      <c r="R907" s="359">
        <f t="shared" ca="1" si="426"/>
        <v>0</v>
      </c>
      <c r="S907" s="360">
        <f t="shared" ca="1" si="427"/>
        <v>10.637999999999975</v>
      </c>
      <c r="T907" s="357">
        <f t="shared" ca="1" si="407"/>
        <v>104.35877999999975</v>
      </c>
      <c r="U907" s="364">
        <f t="shared" ca="1" si="408"/>
        <v>0</v>
      </c>
      <c r="V907" s="359">
        <f t="shared" ca="1" si="409"/>
        <v>1.1851182419691066</v>
      </c>
      <c r="W907" s="357">
        <f t="shared" ca="1" si="410"/>
        <v>72.474419796609581</v>
      </c>
      <c r="X907" s="343"/>
      <c r="Y907" s="367" t="str">
        <f t="shared" ca="1" si="428"/>
        <v/>
      </c>
      <c r="Z907" s="368" t="str">
        <f t="shared" ca="1" si="429"/>
        <v/>
      </c>
      <c r="AA907" s="369" t="str">
        <f t="shared" ca="1" si="430"/>
        <v/>
      </c>
      <c r="AB907" s="344"/>
      <c r="AC907" s="363" t="e">
        <f t="shared" ca="1" si="431"/>
        <v>#N/A</v>
      </c>
      <c r="AD907" s="376" t="e">
        <f t="shared" ca="1" si="432"/>
        <v>#N/A</v>
      </c>
      <c r="AE907" s="377" t="e">
        <f t="shared" ca="1" si="411"/>
        <v>#N/A</v>
      </c>
      <c r="AF907" s="344"/>
      <c r="AG907" s="359">
        <f t="shared" ca="1" si="433"/>
        <v>2.9381357168522353</v>
      </c>
      <c r="AH907" s="357">
        <f t="shared" ca="1" si="434"/>
        <v>-6.7773531929634228</v>
      </c>
    </row>
    <row r="908" spans="1:34" x14ac:dyDescent="0.25">
      <c r="A908" s="402">
        <f t="shared" ca="1" si="412"/>
        <v>0.1</v>
      </c>
      <c r="B908" s="357">
        <f t="shared" ca="1" si="413"/>
        <v>45.400000000000311</v>
      </c>
      <c r="C908" s="342"/>
      <c r="D908" s="359">
        <f t="shared" ca="1" si="414"/>
        <v>-0.93780369662056895</v>
      </c>
      <c r="E908" s="360">
        <f t="shared" ca="1" si="415"/>
        <v>-3.0620684435171919</v>
      </c>
      <c r="F908" s="357">
        <f t="shared" ca="1" si="416"/>
        <v>3.2024582629878258</v>
      </c>
      <c r="G908" s="359">
        <f t="shared" ca="1" si="417"/>
        <v>22.43297484205246</v>
      </c>
      <c r="H908" s="360">
        <f t="shared" ca="1" si="418"/>
        <v>-162.39663462371038</v>
      </c>
      <c r="I908" s="357">
        <f t="shared" ca="1" si="419"/>
        <v>163.9387242153941</v>
      </c>
      <c r="J908" s="359">
        <f t="shared" ca="1" si="420"/>
        <v>1698.4083460629633</v>
      </c>
      <c r="K908" s="360">
        <f t="shared" ca="1" si="421"/>
        <v>314.72835564246191</v>
      </c>
      <c r="L908" s="357">
        <f t="shared" ca="1" si="406"/>
        <v>1727.3230293786216</v>
      </c>
      <c r="M908" s="359">
        <f t="shared" ca="1" si="422"/>
        <v>-1.4335280927705616</v>
      </c>
      <c r="N908" s="357">
        <f t="shared" ca="1" si="423"/>
        <v>-82.135109529191524</v>
      </c>
      <c r="O908" s="343"/>
      <c r="P908" s="363">
        <f t="shared" ca="1" si="424"/>
        <v>23</v>
      </c>
      <c r="Q908" s="357">
        <f t="shared" ca="1" si="425"/>
        <v>0</v>
      </c>
      <c r="R908" s="359">
        <f t="shared" ca="1" si="426"/>
        <v>0</v>
      </c>
      <c r="S908" s="360">
        <f t="shared" ca="1" si="427"/>
        <v>10.637999999999975</v>
      </c>
      <c r="T908" s="357">
        <f t="shared" ca="1" si="407"/>
        <v>104.35877999999975</v>
      </c>
      <c r="U908" s="364">
        <f t="shared" ca="1" si="408"/>
        <v>0</v>
      </c>
      <c r="V908" s="359">
        <f t="shared" ca="1" si="409"/>
        <v>1.1870430823476967</v>
      </c>
      <c r="W908" s="357">
        <f t="shared" ca="1" si="410"/>
        <v>72.850028539327752</v>
      </c>
      <c r="X908" s="343"/>
      <c r="Y908" s="367" t="str">
        <f t="shared" ca="1" si="428"/>
        <v/>
      </c>
      <c r="Z908" s="368" t="str">
        <f t="shared" ca="1" si="429"/>
        <v/>
      </c>
      <c r="AA908" s="369" t="str">
        <f t="shared" ca="1" si="430"/>
        <v/>
      </c>
      <c r="AB908" s="344"/>
      <c r="AC908" s="363" t="e">
        <f t="shared" ca="1" si="431"/>
        <v>#N/A</v>
      </c>
      <c r="AD908" s="376" t="e">
        <f t="shared" ca="1" si="432"/>
        <v>#N/A</v>
      </c>
      <c r="AE908" s="377" t="e">
        <f t="shared" ca="1" si="411"/>
        <v>#N/A</v>
      </c>
      <c r="AF908" s="344"/>
      <c r="AG908" s="359">
        <f t="shared" ca="1" si="433"/>
        <v>2.9038269907626839</v>
      </c>
      <c r="AH908" s="357">
        <f t="shared" ca="1" si="434"/>
        <v>-6.8127862188954458</v>
      </c>
    </row>
    <row r="909" spans="1:34" x14ac:dyDescent="0.25">
      <c r="A909" s="402">
        <f t="shared" ca="1" si="412"/>
        <v>0.1</v>
      </c>
      <c r="B909" s="357">
        <f t="shared" ca="1" si="413"/>
        <v>45.500000000000313</v>
      </c>
      <c r="C909" s="342"/>
      <c r="D909" s="359">
        <f t="shared" ca="1" si="414"/>
        <v>-0.93707652529711094</v>
      </c>
      <c r="E909" s="360">
        <f t="shared" ca="1" si="415"/>
        <v>-3.0263221701715368</v>
      </c>
      <c r="F909" s="357">
        <f t="shared" ca="1" si="416"/>
        <v>3.1680811687730897</v>
      </c>
      <c r="G909" s="359">
        <f t="shared" ca="1" si="417"/>
        <v>22.339267189522747</v>
      </c>
      <c r="H909" s="360">
        <f t="shared" ca="1" si="418"/>
        <v>-162.69926684072755</v>
      </c>
      <c r="I909" s="357">
        <f t="shared" ca="1" si="419"/>
        <v>164.22574185880592</v>
      </c>
      <c r="J909" s="359">
        <f t="shared" ca="1" si="420"/>
        <v>1700.6469581645422</v>
      </c>
      <c r="K909" s="360">
        <f t="shared" ca="1" si="421"/>
        <v>298.47356056924002</v>
      </c>
      <c r="L909" s="357">
        <f t="shared" ca="1" si="406"/>
        <v>1726.6402470327134</v>
      </c>
      <c r="M909" s="359">
        <f t="shared" ca="1" si="422"/>
        <v>-1.4343454899628469</v>
      </c>
      <c r="N909" s="357">
        <f t="shared" ca="1" si="423"/>
        <v>-82.181942938495311</v>
      </c>
      <c r="O909" s="343"/>
      <c r="P909" s="363">
        <f t="shared" ca="1" si="424"/>
        <v>23</v>
      </c>
      <c r="Q909" s="357">
        <f t="shared" ca="1" si="425"/>
        <v>0</v>
      </c>
      <c r="R909" s="359">
        <f t="shared" ca="1" si="426"/>
        <v>0</v>
      </c>
      <c r="S909" s="360">
        <f t="shared" ca="1" si="427"/>
        <v>10.637999999999975</v>
      </c>
      <c r="T909" s="357">
        <f t="shared" ca="1" si="407"/>
        <v>104.35877999999975</v>
      </c>
      <c r="U909" s="364">
        <f t="shared" ca="1" si="408"/>
        <v>0</v>
      </c>
      <c r="V909" s="359">
        <f t="shared" ca="1" si="409"/>
        <v>1.1889746200022082</v>
      </c>
      <c r="W909" s="357">
        <f t="shared" ca="1" si="410"/>
        <v>73.224293764919835</v>
      </c>
      <c r="X909" s="343"/>
      <c r="Y909" s="367" t="str">
        <f t="shared" ca="1" si="428"/>
        <v/>
      </c>
      <c r="Z909" s="368" t="str">
        <f t="shared" ca="1" si="429"/>
        <v/>
      </c>
      <c r="AA909" s="369" t="str">
        <f t="shared" ca="1" si="430"/>
        <v/>
      </c>
      <c r="AB909" s="344"/>
      <c r="AC909" s="363" t="e">
        <f t="shared" ca="1" si="431"/>
        <v>#N/A</v>
      </c>
      <c r="AD909" s="376" t="e">
        <f t="shared" ca="1" si="432"/>
        <v>#N/A</v>
      </c>
      <c r="AE909" s="377" t="e">
        <f t="shared" ca="1" si="411"/>
        <v>#N/A</v>
      </c>
      <c r="AF909" s="344"/>
      <c r="AG909" s="359">
        <f t="shared" ca="1" si="433"/>
        <v>2.869627806715223</v>
      </c>
      <c r="AH909" s="357">
        <f t="shared" ca="1" si="434"/>
        <v>-6.8480944293408461</v>
      </c>
    </row>
    <row r="910" spans="1:34" x14ac:dyDescent="0.25">
      <c r="A910" s="402">
        <f t="shared" ca="1" si="412"/>
        <v>0.1</v>
      </c>
      <c r="B910" s="357">
        <f t="shared" ca="1" si="413"/>
        <v>45.600000000000314</v>
      </c>
      <c r="C910" s="342"/>
      <c r="D910" s="359">
        <f t="shared" ca="1" si="414"/>
        <v>-0.9363169725047108</v>
      </c>
      <c r="E910" s="360">
        <f t="shared" ca="1" si="415"/>
        <v>-2.9907035716689254</v>
      </c>
      <c r="F910" s="357">
        <f t="shared" ca="1" si="416"/>
        <v>3.133847049010793</v>
      </c>
      <c r="G910" s="359">
        <f t="shared" ca="1" si="417"/>
        <v>22.245635492272275</v>
      </c>
      <c r="H910" s="360">
        <f t="shared" ca="1" si="418"/>
        <v>-162.99833719789444</v>
      </c>
      <c r="I910" s="357">
        <f t="shared" ca="1" si="419"/>
        <v>164.50934997055197</v>
      </c>
      <c r="J910" s="359">
        <f t="shared" ca="1" si="420"/>
        <v>1702.8762032986319</v>
      </c>
      <c r="K910" s="360">
        <f t="shared" ca="1" si="421"/>
        <v>282.1886803673089</v>
      </c>
      <c r="L910" s="357">
        <f t="shared" ca="1" si="406"/>
        <v>1726.0990165944152</v>
      </c>
      <c r="M910" s="359">
        <f t="shared" ca="1" si="422"/>
        <v>-1.4351566492760566</v>
      </c>
      <c r="N910" s="357">
        <f t="shared" ca="1" si="423"/>
        <v>-82.228418943654958</v>
      </c>
      <c r="O910" s="343"/>
      <c r="P910" s="363">
        <f t="shared" ca="1" si="424"/>
        <v>23</v>
      </c>
      <c r="Q910" s="357">
        <f t="shared" ca="1" si="425"/>
        <v>0</v>
      </c>
      <c r="R910" s="359">
        <f t="shared" ca="1" si="426"/>
        <v>0</v>
      </c>
      <c r="S910" s="360">
        <f t="shared" ca="1" si="427"/>
        <v>10.637999999999975</v>
      </c>
      <c r="T910" s="357">
        <f t="shared" ca="1" si="407"/>
        <v>104.35877999999975</v>
      </c>
      <c r="U910" s="364">
        <f t="shared" ca="1" si="408"/>
        <v>0</v>
      </c>
      <c r="V910" s="359">
        <f t="shared" ca="1" si="409"/>
        <v>1.1909128372289957</v>
      </c>
      <c r="W910" s="357">
        <f t="shared" ca="1" si="410"/>
        <v>73.597200014452227</v>
      </c>
      <c r="X910" s="343"/>
      <c r="Y910" s="367" t="str">
        <f t="shared" ca="1" si="428"/>
        <v/>
      </c>
      <c r="Z910" s="368" t="str">
        <f t="shared" ca="1" si="429"/>
        <v/>
      </c>
      <c r="AA910" s="369" t="str">
        <f t="shared" ca="1" si="430"/>
        <v/>
      </c>
      <c r="AB910" s="344"/>
      <c r="AC910" s="363" t="e">
        <f t="shared" ca="1" si="431"/>
        <v>#N/A</v>
      </c>
      <c r="AD910" s="376" t="e">
        <f t="shared" ca="1" si="432"/>
        <v>#N/A</v>
      </c>
      <c r="AE910" s="377" t="e">
        <f t="shared" ca="1" si="411"/>
        <v>#N/A</v>
      </c>
      <c r="AF910" s="344"/>
      <c r="AG910" s="359">
        <f t="shared" ca="1" si="433"/>
        <v>2.8355398986473936</v>
      </c>
      <c r="AH910" s="357">
        <f t="shared" ca="1" si="434"/>
        <v>-6.8832763456401587</v>
      </c>
    </row>
    <row r="911" spans="1:34" x14ac:dyDescent="0.25">
      <c r="A911" s="402">
        <f t="shared" ca="1" si="412"/>
        <v>0.1</v>
      </c>
      <c r="B911" s="357">
        <f t="shared" ca="1" si="413"/>
        <v>45.700000000000315</v>
      </c>
      <c r="C911" s="342"/>
      <c r="D911" s="359">
        <f t="shared" ca="1" si="414"/>
        <v>-0.93552529914374571</v>
      </c>
      <c r="E911" s="360">
        <f t="shared" ca="1" si="415"/>
        <v>-2.9552141153726419</v>
      </c>
      <c r="F911" s="357">
        <f t="shared" ca="1" si="416"/>
        <v>3.0997577410235952</v>
      </c>
      <c r="G911" s="359">
        <f t="shared" ca="1" si="417"/>
        <v>22.152082962357898</v>
      </c>
      <c r="H911" s="360">
        <f t="shared" ca="1" si="418"/>
        <v>-163.29385860943171</v>
      </c>
      <c r="I911" s="357">
        <f t="shared" ca="1" si="419"/>
        <v>164.78955986083665</v>
      </c>
      <c r="J911" s="359">
        <f t="shared" ca="1" si="420"/>
        <v>1705.0960892213634</v>
      </c>
      <c r="K911" s="360">
        <f t="shared" ca="1" si="421"/>
        <v>265.87407057694259</v>
      </c>
      <c r="L911" s="357">
        <f t="shared" ca="1" si="406"/>
        <v>1725.7003490997911</v>
      </c>
      <c r="M911" s="359">
        <f t="shared" ca="1" si="422"/>
        <v>-1.4359616450324504</v>
      </c>
      <c r="N911" s="357">
        <f t="shared" ca="1" si="423"/>
        <v>-82.27454180302226</v>
      </c>
      <c r="O911" s="343"/>
      <c r="P911" s="363">
        <f t="shared" ca="1" si="424"/>
        <v>23</v>
      </c>
      <c r="Q911" s="357">
        <f t="shared" ca="1" si="425"/>
        <v>0</v>
      </c>
      <c r="R911" s="359">
        <f t="shared" ca="1" si="426"/>
        <v>0</v>
      </c>
      <c r="S911" s="360">
        <f t="shared" ca="1" si="427"/>
        <v>10.637999999999975</v>
      </c>
      <c r="T911" s="357">
        <f t="shared" ca="1" si="407"/>
        <v>104.35877999999975</v>
      </c>
      <c r="U911" s="364">
        <f t="shared" ca="1" si="408"/>
        <v>0</v>
      </c>
      <c r="V911" s="359">
        <f t="shared" ca="1" si="409"/>
        <v>1.192857716343988</v>
      </c>
      <c r="W911" s="357">
        <f t="shared" ca="1" si="410"/>
        <v>73.968732100054098</v>
      </c>
      <c r="X911" s="343"/>
      <c r="Y911" s="367" t="str">
        <f t="shared" ca="1" si="428"/>
        <v/>
      </c>
      <c r="Z911" s="368" t="str">
        <f t="shared" ca="1" si="429"/>
        <v/>
      </c>
      <c r="AA911" s="369" t="str">
        <f t="shared" ca="1" si="430"/>
        <v/>
      </c>
      <c r="AB911" s="344"/>
      <c r="AC911" s="363" t="e">
        <f t="shared" ca="1" si="431"/>
        <v>#N/A</v>
      </c>
      <c r="AD911" s="376" t="e">
        <f t="shared" ca="1" si="432"/>
        <v>#N/A</v>
      </c>
      <c r="AE911" s="377" t="e">
        <f t="shared" ca="1" si="411"/>
        <v>#N/A</v>
      </c>
      <c r="AF911" s="344"/>
      <c r="AG911" s="359">
        <f t="shared" ca="1" si="433"/>
        <v>2.8015649697323397</v>
      </c>
      <c r="AH911" s="357">
        <f t="shared" ca="1" si="434"/>
        <v>-6.9183305146129346</v>
      </c>
    </row>
    <row r="912" spans="1:34" x14ac:dyDescent="0.25">
      <c r="A912" s="402">
        <f t="shared" ca="1" si="412"/>
        <v>0.1</v>
      </c>
      <c r="B912" s="357">
        <f t="shared" ca="1" si="413"/>
        <v>45.800000000000317</v>
      </c>
      <c r="C912" s="342"/>
      <c r="D912" s="359">
        <f t="shared" ca="1" si="414"/>
        <v>-0.9347017676007795</v>
      </c>
      <c r="E912" s="360">
        <f t="shared" ca="1" si="415"/>
        <v>-2.9198552429607991</v>
      </c>
      <c r="F912" s="357">
        <f t="shared" ca="1" si="416"/>
        <v>3.0658150684934813</v>
      </c>
      <c r="G912" s="359">
        <f t="shared" ca="1" si="417"/>
        <v>22.05861278559782</v>
      </c>
      <c r="H912" s="360">
        <f t="shared" ca="1" si="418"/>
        <v>-163.58584413372779</v>
      </c>
      <c r="I912" s="357">
        <f t="shared" ca="1" si="419"/>
        <v>165.06638300686552</v>
      </c>
      <c r="J912" s="359">
        <f t="shared" ca="1" si="420"/>
        <v>1707.3066240087612</v>
      </c>
      <c r="K912" s="360">
        <f t="shared" ca="1" si="421"/>
        <v>249.53008543978461</v>
      </c>
      <c r="L912" s="357">
        <f t="shared" ca="1" si="406"/>
        <v>1725.4452097716055</v>
      </c>
      <c r="M912" s="359">
        <f t="shared" ca="1" si="422"/>
        <v>-1.4367605503172571</v>
      </c>
      <c r="N912" s="357">
        <f t="shared" ca="1" si="423"/>
        <v>-82.320315704072385</v>
      </c>
      <c r="O912" s="343"/>
      <c r="P912" s="363">
        <f t="shared" ca="1" si="424"/>
        <v>23</v>
      </c>
      <c r="Q912" s="357">
        <f t="shared" ca="1" si="425"/>
        <v>0</v>
      </c>
      <c r="R912" s="359">
        <f t="shared" ca="1" si="426"/>
        <v>0</v>
      </c>
      <c r="S912" s="360">
        <f t="shared" ca="1" si="427"/>
        <v>10.637999999999975</v>
      </c>
      <c r="T912" s="357">
        <f t="shared" ca="1" si="407"/>
        <v>104.35877999999975</v>
      </c>
      <c r="U912" s="364">
        <f t="shared" ca="1" si="408"/>
        <v>0</v>
      </c>
      <c r="V912" s="359">
        <f t="shared" ca="1" si="409"/>
        <v>1.1948092396836878</v>
      </c>
      <c r="W912" s="357">
        <f t="shared" ca="1" si="410"/>
        <v>74.338875104879293</v>
      </c>
      <c r="X912" s="343"/>
      <c r="Y912" s="367" t="str">
        <f t="shared" ca="1" si="428"/>
        <v/>
      </c>
      <c r="Z912" s="368" t="str">
        <f t="shared" ca="1" si="429"/>
        <v/>
      </c>
      <c r="AA912" s="369" t="str">
        <f t="shared" ca="1" si="430"/>
        <v/>
      </c>
      <c r="AB912" s="344"/>
      <c r="AC912" s="363" t="e">
        <f t="shared" ca="1" si="431"/>
        <v>#N/A</v>
      </c>
      <c r="AD912" s="376" t="e">
        <f t="shared" ca="1" si="432"/>
        <v>#N/A</v>
      </c>
      <c r="AE912" s="377" t="e">
        <f t="shared" ca="1" si="411"/>
        <v>#N/A</v>
      </c>
      <c r="AF912" s="344"/>
      <c r="AG912" s="359">
        <f t="shared" ca="1" si="433"/>
        <v>2.7677046925075626</v>
      </c>
      <c r="AH912" s="357">
        <f t="shared" ca="1" si="434"/>
        <v>-6.9532555085593408</v>
      </c>
    </row>
    <row r="913" spans="1:34" x14ac:dyDescent="0.25">
      <c r="A913" s="402">
        <f t="shared" ca="1" si="412"/>
        <v>0.1</v>
      </c>
      <c r="B913" s="357">
        <f t="shared" ca="1" si="413"/>
        <v>45.900000000000318</v>
      </c>
      <c r="C913" s="342"/>
      <c r="D913" s="359">
        <f t="shared" ca="1" si="414"/>
        <v>-0.93384664169474907</v>
      </c>
      <c r="E913" s="360">
        <f t="shared" ca="1" si="415"/>
        <v>-2.8846283704284943</v>
      </c>
      <c r="F913" s="357">
        <f t="shared" ca="1" si="416"/>
        <v>3.0320208418949748</v>
      </c>
      <c r="G913" s="359">
        <f t="shared" ca="1" si="417"/>
        <v>21.965228121428346</v>
      </c>
      <c r="H913" s="360">
        <f t="shared" ca="1" si="418"/>
        <v>-163.87430697077065</v>
      </c>
      <c r="I913" s="357">
        <f t="shared" ca="1" si="419"/>
        <v>165.33983104980106</v>
      </c>
      <c r="J913" s="359">
        <f t="shared" ca="1" si="420"/>
        <v>1709.5078160541125</v>
      </c>
      <c r="K913" s="360">
        <f t="shared" ca="1" si="421"/>
        <v>233.1570778845597</v>
      </c>
      <c r="L913" s="357">
        <f t="shared" ca="1" si="406"/>
        <v>1725.3345171640681</v>
      </c>
      <c r="M913" s="359">
        <f t="shared" ca="1" si="422"/>
        <v>-1.4375534370037553</v>
      </c>
      <c r="N913" s="357">
        <f t="shared" ca="1" si="423"/>
        <v>-82.365744764840841</v>
      </c>
      <c r="O913" s="343"/>
      <c r="P913" s="363">
        <f t="shared" ca="1" si="424"/>
        <v>23</v>
      </c>
      <c r="Q913" s="357">
        <f t="shared" ca="1" si="425"/>
        <v>0</v>
      </c>
      <c r="R913" s="359">
        <f t="shared" ca="1" si="426"/>
        <v>0</v>
      </c>
      <c r="S913" s="360">
        <f t="shared" ca="1" si="427"/>
        <v>10.637999999999975</v>
      </c>
      <c r="T913" s="357">
        <f t="shared" ca="1" si="407"/>
        <v>104.35877999999975</v>
      </c>
      <c r="U913" s="364">
        <f t="shared" ca="1" si="408"/>
        <v>0</v>
      </c>
      <c r="V913" s="359">
        <f t="shared" ca="1" si="409"/>
        <v>1.1967673896061655</v>
      </c>
      <c r="W913" s="357">
        <f t="shared" ca="1" si="410"/>
        <v>74.707614383013834</v>
      </c>
      <c r="X913" s="343"/>
      <c r="Y913" s="367" t="str">
        <f t="shared" ca="1" si="428"/>
        <v/>
      </c>
      <c r="Z913" s="368" t="str">
        <f t="shared" ca="1" si="429"/>
        <v/>
      </c>
      <c r="AA913" s="369" t="str">
        <f t="shared" ca="1" si="430"/>
        <v/>
      </c>
      <c r="AB913" s="344"/>
      <c r="AC913" s="363" t="e">
        <f t="shared" ca="1" si="431"/>
        <v>#N/A</v>
      </c>
      <c r="AD913" s="376" t="e">
        <f t="shared" ca="1" si="432"/>
        <v>#N/A</v>
      </c>
      <c r="AE913" s="377" t="e">
        <f t="shared" ca="1" si="411"/>
        <v>#N/A</v>
      </c>
      <c r="AF913" s="344"/>
      <c r="AG913" s="359">
        <f t="shared" ca="1" si="433"/>
        <v>2.7339607090051743</v>
      </c>
      <c r="AH913" s="357">
        <f t="shared" ca="1" si="434"/>
        <v>-6.9880499252565773</v>
      </c>
    </row>
    <row r="914" spans="1:34" x14ac:dyDescent="0.25">
      <c r="A914" s="402">
        <f t="shared" ca="1" si="412"/>
        <v>0.1</v>
      </c>
      <c r="B914" s="357">
        <f t="shared" ca="1" si="413"/>
        <v>46.00000000000032</v>
      </c>
      <c r="C914" s="342"/>
      <c r="D914" s="359">
        <f t="shared" ca="1" si="414"/>
        <v>-0.93296018662341618</v>
      </c>
      <c r="E914" s="360">
        <f t="shared" ca="1" si="415"/>
        <v>-2.8495348880951568</v>
      </c>
      <c r="F914" s="357">
        <f t="shared" ca="1" si="416"/>
        <v>2.9983768589515023</v>
      </c>
      <c r="G914" s="359">
        <f t="shared" ca="1" si="417"/>
        <v>21.871932102766003</v>
      </c>
      <c r="H914" s="360">
        <f t="shared" ca="1" si="418"/>
        <v>-164.15926045958017</v>
      </c>
      <c r="I914" s="357">
        <f t="shared" ca="1" si="419"/>
        <v>165.60991579173117</v>
      </c>
      <c r="J914" s="359">
        <f t="shared" ca="1" si="420"/>
        <v>1711.6996740653221</v>
      </c>
      <c r="K914" s="360">
        <f t="shared" ca="1" si="421"/>
        <v>216.75539951304216</v>
      </c>
      <c r="L914" s="357">
        <f t="shared" ca="1" si="406"/>
        <v>1725.3691423615378</v>
      </c>
      <c r="M914" s="359">
        <f t="shared" ca="1" si="422"/>
        <v>-1.4383403757777555</v>
      </c>
      <c r="N914" s="357">
        <f t="shared" ca="1" si="423"/>
        <v>-82.410833035326249</v>
      </c>
      <c r="O914" s="343"/>
      <c r="P914" s="363">
        <f t="shared" ca="1" si="424"/>
        <v>23</v>
      </c>
      <c r="Q914" s="357">
        <f t="shared" ca="1" si="425"/>
        <v>0</v>
      </c>
      <c r="R914" s="359">
        <f t="shared" ca="1" si="426"/>
        <v>0</v>
      </c>
      <c r="S914" s="360">
        <f t="shared" ca="1" si="427"/>
        <v>10.637999999999975</v>
      </c>
      <c r="T914" s="357">
        <f t="shared" ca="1" si="407"/>
        <v>104.35877999999975</v>
      </c>
      <c r="U914" s="364">
        <f t="shared" ca="1" si="408"/>
        <v>0</v>
      </c>
      <c r="V914" s="359">
        <f t="shared" ca="1" si="409"/>
        <v>1.1987321484920499</v>
      </c>
      <c r="W914" s="357">
        <f t="shared" ca="1" si="410"/>
        <v>75.074935559329532</v>
      </c>
      <c r="X914" s="343"/>
      <c r="Y914" s="367" t="str">
        <f t="shared" ca="1" si="428"/>
        <v/>
      </c>
      <c r="Z914" s="368" t="str">
        <f t="shared" ca="1" si="429"/>
        <v/>
      </c>
      <c r="AA914" s="369" t="str">
        <f t="shared" ca="1" si="430"/>
        <v/>
      </c>
      <c r="AB914" s="344"/>
      <c r="AC914" s="363">
        <f t="shared" ca="1" si="431"/>
        <v>46.00000000000032</v>
      </c>
      <c r="AD914" s="376">
        <f t="shared" ca="1" si="432"/>
        <v>1711.6996740653221</v>
      </c>
      <c r="AE914" s="377" t="e">
        <f t="shared" ca="1" si="411"/>
        <v>#N/A</v>
      </c>
      <c r="AF914" s="344"/>
      <c r="AG914" s="359">
        <f t="shared" ca="1" si="433"/>
        <v>2.700334630883666</v>
      </c>
      <c r="AH914" s="357">
        <f t="shared" ca="1" si="434"/>
        <v>-7.0227123879501798</v>
      </c>
    </row>
    <row r="915" spans="1:34" x14ac:dyDescent="0.25">
      <c r="A915" s="402">
        <f t="shared" ca="1" si="412"/>
        <v>0.1</v>
      </c>
      <c r="B915" s="357">
        <f t="shared" ca="1" si="413"/>
        <v>46.100000000000321</v>
      </c>
      <c r="C915" s="342"/>
      <c r="D915" s="359">
        <f t="shared" ca="1" si="414"/>
        <v>-0.93204266891009702</v>
      </c>
      <c r="E915" s="360">
        <f t="shared" ca="1" si="415"/>
        <v>-2.8145761606170314</v>
      </c>
      <c r="F915" s="357">
        <f t="shared" ca="1" si="416"/>
        <v>2.9648849051156718</v>
      </c>
      <c r="G915" s="359">
        <f t="shared" ca="1" si="417"/>
        <v>21.778727835874992</v>
      </c>
      <c r="H915" s="360">
        <f t="shared" ca="1" si="418"/>
        <v>-164.44071807564188</v>
      </c>
      <c r="I915" s="357">
        <f t="shared" ca="1" si="419"/>
        <v>165.87664919265114</v>
      </c>
      <c r="J915" s="359">
        <f t="shared" ca="1" si="420"/>
        <v>1713.8822070622541</v>
      </c>
      <c r="K915" s="360">
        <f t="shared" ca="1" si="421"/>
        <v>200.32540058628106</v>
      </c>
      <c r="L915" s="357">
        <f t="shared" ca="1" si="406"/>
        <v>1725.5499082334991</v>
      </c>
      <c r="M915" s="359">
        <f t="shared" ca="1" si="422"/>
        <v>-1.4391214361615021</v>
      </c>
      <c r="N915" s="357">
        <f t="shared" ca="1" si="423"/>
        <v>-82.455584498859807</v>
      </c>
      <c r="O915" s="343"/>
      <c r="P915" s="363">
        <f t="shared" ca="1" si="424"/>
        <v>23</v>
      </c>
      <c r="Q915" s="357">
        <f t="shared" ca="1" si="425"/>
        <v>0</v>
      </c>
      <c r="R915" s="359">
        <f t="shared" ca="1" si="426"/>
        <v>0</v>
      </c>
      <c r="S915" s="360">
        <f t="shared" ca="1" si="427"/>
        <v>10.637999999999975</v>
      </c>
      <c r="T915" s="357">
        <f t="shared" ca="1" si="407"/>
        <v>104.35877999999975</v>
      </c>
      <c r="U915" s="364">
        <f t="shared" ca="1" si="408"/>
        <v>0</v>
      </c>
      <c r="V915" s="359">
        <f t="shared" ca="1" si="409"/>
        <v>1.2007034987455134</v>
      </c>
      <c r="W915" s="357">
        <f t="shared" ca="1" si="410"/>
        <v>75.440824529284058</v>
      </c>
      <c r="X915" s="343"/>
      <c r="Y915" s="367" t="str">
        <f t="shared" ca="1" si="428"/>
        <v/>
      </c>
      <c r="Z915" s="368" t="str">
        <f t="shared" ca="1" si="429"/>
        <v/>
      </c>
      <c r="AA915" s="369" t="str">
        <f t="shared" ca="1" si="430"/>
        <v/>
      </c>
      <c r="AB915" s="344"/>
      <c r="AC915" s="363" t="e">
        <f t="shared" ca="1" si="431"/>
        <v>#N/A</v>
      </c>
      <c r="AD915" s="376" t="e">
        <f t="shared" ca="1" si="432"/>
        <v>#N/A</v>
      </c>
      <c r="AE915" s="377" t="e">
        <f t="shared" ca="1" si="411"/>
        <v>#N/A</v>
      </c>
      <c r="AF915" s="344"/>
      <c r="AG915" s="359">
        <f t="shared" ca="1" si="433"/>
        <v>2.666828039561298</v>
      </c>
      <c r="AH915" s="357">
        <f t="shared" ca="1" si="434"/>
        <v>-7.0572415453402622</v>
      </c>
    </row>
    <row r="916" spans="1:34" x14ac:dyDescent="0.25">
      <c r="A916" s="402">
        <f t="shared" ca="1" si="412"/>
        <v>0.1</v>
      </c>
      <c r="B916" s="357">
        <f t="shared" ca="1" si="413"/>
        <v>46.200000000000323</v>
      </c>
      <c r="C916" s="342"/>
      <c r="D916" s="359">
        <f t="shared" ca="1" si="414"/>
        <v>-0.93109435635067495</v>
      </c>
      <c r="E916" s="360">
        <f t="shared" ca="1" si="415"/>
        <v>-2.7797535270047975</v>
      </c>
      <c r="F916" s="357">
        <f t="shared" ca="1" si="416"/>
        <v>2.9315467540743216</v>
      </c>
      <c r="G916" s="359">
        <f t="shared" ca="1" si="417"/>
        <v>21.685618400239925</v>
      </c>
      <c r="H916" s="360">
        <f t="shared" ca="1" si="418"/>
        <v>-164.71869342834236</v>
      </c>
      <c r="I916" s="357">
        <f t="shared" ca="1" si="419"/>
        <v>166.1400433674587</v>
      </c>
      <c r="J916" s="359">
        <f t="shared" ca="1" si="420"/>
        <v>1716.0554243740598</v>
      </c>
      <c r="K916" s="360">
        <f t="shared" ca="1" si="421"/>
        <v>183.86743001108186</v>
      </c>
      <c r="L916" s="357">
        <f t="shared" ca="1" si="406"/>
        <v>1725.8775887479721</v>
      </c>
      <c r="M916" s="359">
        <f t="shared" ca="1" si="422"/>
        <v>-1.4398966865370098</v>
      </c>
      <c r="N916" s="357">
        <f t="shared" ca="1" si="423"/>
        <v>-82.500003073442329</v>
      </c>
      <c r="O916" s="343"/>
      <c r="P916" s="363">
        <f t="shared" ca="1" si="424"/>
        <v>23</v>
      </c>
      <c r="Q916" s="357">
        <f t="shared" ca="1" si="425"/>
        <v>0</v>
      </c>
      <c r="R916" s="359">
        <f t="shared" ca="1" si="426"/>
        <v>0</v>
      </c>
      <c r="S916" s="360">
        <f t="shared" ca="1" si="427"/>
        <v>10.637999999999975</v>
      </c>
      <c r="T916" s="357">
        <f t="shared" ca="1" si="407"/>
        <v>104.35877999999975</v>
      </c>
      <c r="U916" s="364">
        <f t="shared" ca="1" si="408"/>
        <v>0</v>
      </c>
      <c r="V916" s="359">
        <f t="shared" ca="1" si="409"/>
        <v>1.2026814227952494</v>
      </c>
      <c r="W916" s="357">
        <f t="shared" ca="1" si="410"/>
        <v>75.805267458668098</v>
      </c>
      <c r="X916" s="343"/>
      <c r="Y916" s="367" t="str">
        <f t="shared" ca="1" si="428"/>
        <v/>
      </c>
      <c r="Z916" s="368" t="str">
        <f t="shared" ca="1" si="429"/>
        <v/>
      </c>
      <c r="AA916" s="369" t="str">
        <f t="shared" ca="1" si="430"/>
        <v/>
      </c>
      <c r="AB916" s="344"/>
      <c r="AC916" s="363" t="e">
        <f t="shared" ca="1" si="431"/>
        <v>#N/A</v>
      </c>
      <c r="AD916" s="376" t="e">
        <f t="shared" ca="1" si="432"/>
        <v>#N/A</v>
      </c>
      <c r="AE916" s="377" t="e">
        <f t="shared" ca="1" si="411"/>
        <v>#N/A</v>
      </c>
      <c r="AF916" s="344"/>
      <c r="AG916" s="359">
        <f t="shared" ca="1" si="433"/>
        <v>2.6334424863511137</v>
      </c>
      <c r="AH916" s="357">
        <f t="shared" ca="1" si="434"/>
        <v>-7.0916360715627222</v>
      </c>
    </row>
    <row r="917" spans="1:34" x14ac:dyDescent="0.25">
      <c r="A917" s="402">
        <f t="shared" ca="1" si="412"/>
        <v>0.1</v>
      </c>
      <c r="B917" s="357">
        <f t="shared" ca="1" si="413"/>
        <v>46.300000000000324</v>
      </c>
      <c r="C917" s="342"/>
      <c r="D917" s="359">
        <f t="shared" ca="1" si="414"/>
        <v>-0.9301155179608952</v>
      </c>
      <c r="E917" s="360">
        <f t="shared" ca="1" si="415"/>
        <v>-2.7450683006462242</v>
      </c>
      <c r="F917" s="357">
        <f t="shared" ca="1" si="416"/>
        <v>2.8983641682791368</v>
      </c>
      <c r="G917" s="359">
        <f t="shared" ca="1" si="417"/>
        <v>21.592606848443836</v>
      </c>
      <c r="H917" s="360">
        <f t="shared" ca="1" si="418"/>
        <v>-164.99320025840697</v>
      </c>
      <c r="I917" s="357">
        <f t="shared" ca="1" si="419"/>
        <v>166.40011058296281</v>
      </c>
      <c r="J917" s="359">
        <f t="shared" ca="1" si="420"/>
        <v>1718.219335636494</v>
      </c>
      <c r="K917" s="360">
        <f t="shared" ca="1" si="421"/>
        <v>167.38183532674441</v>
      </c>
      <c r="L917" s="357">
        <f t="shared" ca="1" si="406"/>
        <v>1726.3529083453545</v>
      </c>
      <c r="M917" s="359">
        <f t="shared" ca="1" si="422"/>
        <v>-1.440666194168849</v>
      </c>
      <c r="N917" s="357">
        <f t="shared" ca="1" si="423"/>
        <v>-82.544092613049813</v>
      </c>
      <c r="O917" s="343"/>
      <c r="P917" s="363">
        <f t="shared" ca="1" si="424"/>
        <v>23</v>
      </c>
      <c r="Q917" s="357">
        <f t="shared" ca="1" si="425"/>
        <v>0</v>
      </c>
      <c r="R917" s="359">
        <f t="shared" ca="1" si="426"/>
        <v>0</v>
      </c>
      <c r="S917" s="360">
        <f t="shared" ca="1" si="427"/>
        <v>10.637999999999975</v>
      </c>
      <c r="T917" s="357">
        <f t="shared" ca="1" si="407"/>
        <v>104.35877999999975</v>
      </c>
      <c r="U917" s="364">
        <f t="shared" ca="1" si="408"/>
        <v>0</v>
      </c>
      <c r="V917" s="359">
        <f t="shared" ca="1" si="409"/>
        <v>1.2046659030954536</v>
      </c>
      <c r="W917" s="357">
        <f t="shared" ca="1" si="410"/>
        <v>76.168250783300493</v>
      </c>
      <c r="X917" s="343"/>
      <c r="Y917" s="367" t="str">
        <f t="shared" ca="1" si="428"/>
        <v/>
      </c>
      <c r="Z917" s="368" t="str">
        <f t="shared" ca="1" si="429"/>
        <v/>
      </c>
      <c r="AA917" s="369" t="str">
        <f t="shared" ca="1" si="430"/>
        <v/>
      </c>
      <c r="AB917" s="344"/>
      <c r="AC917" s="363" t="e">
        <f t="shared" ca="1" si="431"/>
        <v>#N/A</v>
      </c>
      <c r="AD917" s="376" t="e">
        <f t="shared" ca="1" si="432"/>
        <v>#N/A</v>
      </c>
      <c r="AE917" s="377" t="e">
        <f t="shared" ca="1" si="411"/>
        <v>#N/A</v>
      </c>
      <c r="AF917" s="344"/>
      <c r="AG917" s="359">
        <f t="shared" ca="1" si="433"/>
        <v>2.6001794925977348</v>
      </c>
      <c r="AH917" s="357">
        <f t="shared" ca="1" si="434"/>
        <v>-7.125894666165471</v>
      </c>
    </row>
    <row r="918" spans="1:34" x14ac:dyDescent="0.25">
      <c r="A918" s="402">
        <f t="shared" ca="1" si="412"/>
        <v>0.1</v>
      </c>
      <c r="B918" s="357">
        <f t="shared" ca="1" si="413"/>
        <v>46.400000000000325</v>
      </c>
      <c r="C918" s="342"/>
      <c r="D918" s="359">
        <f t="shared" ca="1" si="414"/>
        <v>-0.92910642392397624</v>
      </c>
      <c r="E918" s="360">
        <f t="shared" ca="1" si="415"/>
        <v>-2.7105217693337949</v>
      </c>
      <c r="F918" s="357">
        <f t="shared" ca="1" si="416"/>
        <v>2.8653388995037226</v>
      </c>
      <c r="G918" s="359">
        <f t="shared" ca="1" si="417"/>
        <v>21.499696206051439</v>
      </c>
      <c r="H918" s="360">
        <f t="shared" ca="1" si="418"/>
        <v>-165.26425243534035</v>
      </c>
      <c r="I918" s="357">
        <f t="shared" ca="1" si="419"/>
        <v>166.65686325490589</v>
      </c>
      <c r="J918" s="359">
        <f t="shared" ca="1" si="420"/>
        <v>1720.3739507892187</v>
      </c>
      <c r="K918" s="360">
        <f t="shared" ca="1" si="421"/>
        <v>150.86896269205704</v>
      </c>
      <c r="L918" s="357">
        <f t="shared" ca="1" si="406"/>
        <v>1726.9765413745151</v>
      </c>
      <c r="M918" s="359">
        <f t="shared" ca="1" si="422"/>
        <v>-1.4414300252263978</v>
      </c>
      <c r="N918" s="357">
        <f t="shared" ca="1" si="423"/>
        <v>-82.587856908908378</v>
      </c>
      <c r="O918" s="343"/>
      <c r="P918" s="363">
        <f t="shared" ca="1" si="424"/>
        <v>23</v>
      </c>
      <c r="Q918" s="357">
        <f t="shared" ca="1" si="425"/>
        <v>0</v>
      </c>
      <c r="R918" s="359">
        <f t="shared" ca="1" si="426"/>
        <v>0</v>
      </c>
      <c r="S918" s="360">
        <f t="shared" ca="1" si="427"/>
        <v>10.637999999999975</v>
      </c>
      <c r="T918" s="357">
        <f t="shared" ca="1" si="407"/>
        <v>104.35877999999975</v>
      </c>
      <c r="U918" s="364">
        <f t="shared" ca="1" si="408"/>
        <v>0</v>
      </c>
      <c r="V918" s="359">
        <f t="shared" ca="1" si="409"/>
        <v>1.2066569221267887</v>
      </c>
      <c r="W918" s="357">
        <f t="shared" ca="1" si="410"/>
        <v>76.529761208670919</v>
      </c>
      <c r="X918" s="343"/>
      <c r="Y918" s="367" t="str">
        <f t="shared" ca="1" si="428"/>
        <v/>
      </c>
      <c r="Z918" s="368" t="str">
        <f t="shared" ca="1" si="429"/>
        <v/>
      </c>
      <c r="AA918" s="369" t="str">
        <f t="shared" ca="1" si="430"/>
        <v/>
      </c>
      <c r="AB918" s="344"/>
      <c r="AC918" s="363" t="e">
        <f t="shared" ca="1" si="431"/>
        <v>#N/A</v>
      </c>
      <c r="AD918" s="376" t="e">
        <f t="shared" ca="1" si="432"/>
        <v>#N/A</v>
      </c>
      <c r="AE918" s="377" t="e">
        <f t="shared" ca="1" si="411"/>
        <v>#N/A</v>
      </c>
      <c r="AF918" s="344"/>
      <c r="AG918" s="359">
        <f t="shared" ca="1" si="433"/>
        <v>2.5670405498158591</v>
      </c>
      <c r="AH918" s="357">
        <f t="shared" ca="1" si="434"/>
        <v>-7.1600160540797777</v>
      </c>
    </row>
    <row r="919" spans="1:34" x14ac:dyDescent="0.25">
      <c r="A919" s="402">
        <f t="shared" ca="1" si="412"/>
        <v>0.1</v>
      </c>
      <c r="B919" s="357">
        <f t="shared" ca="1" si="413"/>
        <v>46.500000000000327</v>
      </c>
      <c r="C919" s="342"/>
      <c r="D919" s="359">
        <f t="shared" ca="1" si="414"/>
        <v>-0.92806734553851455</v>
      </c>
      <c r="E919" s="360">
        <f t="shared" ca="1" si="415"/>
        <v>-2.6761151952973572</v>
      </c>
      <c r="F919" s="357">
        <f t="shared" ca="1" si="416"/>
        <v>2.8324726894281462</v>
      </c>
      <c r="G919" s="359">
        <f t="shared" ca="1" si="417"/>
        <v>21.406889471497589</v>
      </c>
      <c r="H919" s="360">
        <f t="shared" ca="1" si="418"/>
        <v>-165.53186395487009</v>
      </c>
      <c r="I919" s="357">
        <f t="shared" ca="1" si="419"/>
        <v>166.91031394500021</v>
      </c>
      <c r="J919" s="359">
        <f t="shared" ca="1" si="420"/>
        <v>1722.5192800730961</v>
      </c>
      <c r="K919" s="360">
        <f t="shared" ca="1" si="421"/>
        <v>134.32915687254652</v>
      </c>
      <c r="L919" s="357">
        <f t="shared" ca="1" si="406"/>
        <v>1727.749111592776</v>
      </c>
      <c r="M919" s="359">
        <f t="shared" ca="1" si="422"/>
        <v>-1.4421882448055718</v>
      </c>
      <c r="N919" s="357">
        <f t="shared" ca="1" si="423"/>
        <v>-82.63129969073924</v>
      </c>
      <c r="O919" s="343"/>
      <c r="P919" s="363">
        <f t="shared" ca="1" si="424"/>
        <v>23</v>
      </c>
      <c r="Q919" s="357">
        <f t="shared" ca="1" si="425"/>
        <v>0</v>
      </c>
      <c r="R919" s="359">
        <f t="shared" ca="1" si="426"/>
        <v>0</v>
      </c>
      <c r="S919" s="360">
        <f t="shared" ca="1" si="427"/>
        <v>10.637999999999975</v>
      </c>
      <c r="T919" s="357">
        <f t="shared" ca="1" si="407"/>
        <v>104.35877999999975</v>
      </c>
      <c r="U919" s="364">
        <f t="shared" ca="1" si="408"/>
        <v>0</v>
      </c>
      <c r="V919" s="359">
        <f t="shared" ca="1" si="409"/>
        <v>1.2086544623973527</v>
      </c>
      <c r="W919" s="357">
        <f t="shared" ca="1" si="410"/>
        <v>76.889785709532092</v>
      </c>
      <c r="X919" s="343"/>
      <c r="Y919" s="367" t="str">
        <f t="shared" ca="1" si="428"/>
        <v/>
      </c>
      <c r="Z919" s="368" t="str">
        <f t="shared" ca="1" si="429"/>
        <v/>
      </c>
      <c r="AA919" s="369" t="str">
        <f t="shared" ca="1" si="430"/>
        <v/>
      </c>
      <c r="AB919" s="344"/>
      <c r="AC919" s="363" t="e">
        <f t="shared" ca="1" si="431"/>
        <v>#N/A</v>
      </c>
      <c r="AD919" s="376" t="e">
        <f t="shared" ca="1" si="432"/>
        <v>#N/A</v>
      </c>
      <c r="AE919" s="377" t="e">
        <f t="shared" ca="1" si="411"/>
        <v>#N/A</v>
      </c>
      <c r="AF919" s="344"/>
      <c r="AG919" s="359">
        <f t="shared" ca="1" si="433"/>
        <v>2.5340271198306397</v>
      </c>
      <c r="AH919" s="357">
        <f t="shared" ca="1" si="434"/>
        <v>-7.1939989855866795</v>
      </c>
    </row>
    <row r="920" spans="1:34" x14ac:dyDescent="0.25">
      <c r="A920" s="402">
        <f t="shared" ca="1" si="412"/>
        <v>0.1</v>
      </c>
      <c r="B920" s="357">
        <f t="shared" ca="1" si="413"/>
        <v>46.600000000000328</v>
      </c>
      <c r="C920" s="342"/>
      <c r="D920" s="359">
        <f t="shared" ca="1" si="414"/>
        <v>-0.9269985551667218</v>
      </c>
      <c r="E920" s="360">
        <f t="shared" ca="1" si="415"/>
        <v>-2.6418498152415681</v>
      </c>
      <c r="F920" s="357">
        <f t="shared" ca="1" si="416"/>
        <v>2.7997672702517789</v>
      </c>
      <c r="G920" s="359">
        <f t="shared" ca="1" si="417"/>
        <v>21.314189615980919</v>
      </c>
      <c r="H920" s="360">
        <f t="shared" ca="1" si="418"/>
        <v>-165.79604893639424</v>
      </c>
      <c r="I920" s="357">
        <f t="shared" ca="1" si="419"/>
        <v>167.16047535797816</v>
      </c>
      <c r="J920" s="359">
        <f t="shared" ca="1" si="420"/>
        <v>1724.65533402747</v>
      </c>
      <c r="K920" s="360">
        <f t="shared" ca="1" si="421"/>
        <v>117.7627612279833</v>
      </c>
      <c r="L920" s="357">
        <f t="shared" ca="1" si="406"/>
        <v>1728.6711917312221</v>
      </c>
      <c r="M920" s="359">
        <f t="shared" ca="1" si="422"/>
        <v>-1.4429409169500491</v>
      </c>
      <c r="N920" s="357">
        <f t="shared" ca="1" si="423"/>
        <v>-82.674424627974844</v>
      </c>
      <c r="O920" s="343"/>
      <c r="P920" s="363">
        <f t="shared" ca="1" si="424"/>
        <v>23</v>
      </c>
      <c r="Q920" s="357">
        <f t="shared" ca="1" si="425"/>
        <v>0</v>
      </c>
      <c r="R920" s="359">
        <f t="shared" ca="1" si="426"/>
        <v>0</v>
      </c>
      <c r="S920" s="360">
        <f t="shared" ca="1" si="427"/>
        <v>10.637999999999975</v>
      </c>
      <c r="T920" s="357">
        <f t="shared" ca="1" si="407"/>
        <v>104.35877999999975</v>
      </c>
      <c r="U920" s="364">
        <f t="shared" ca="1" si="408"/>
        <v>0</v>
      </c>
      <c r="V920" s="359">
        <f t="shared" ca="1" si="409"/>
        <v>1.2106585064436386</v>
      </c>
      <c r="W920" s="357">
        <f t="shared" ca="1" si="410"/>
        <v>77.24831152944067</v>
      </c>
      <c r="X920" s="343"/>
      <c r="Y920" s="367" t="str">
        <f t="shared" ca="1" si="428"/>
        <v/>
      </c>
      <c r="Z920" s="368" t="str">
        <f t="shared" ca="1" si="429"/>
        <v/>
      </c>
      <c r="AA920" s="369" t="str">
        <f t="shared" ca="1" si="430"/>
        <v/>
      </c>
      <c r="AB920" s="344"/>
      <c r="AC920" s="363" t="e">
        <f t="shared" ca="1" si="431"/>
        <v>#N/A</v>
      </c>
      <c r="AD920" s="376" t="e">
        <f t="shared" ca="1" si="432"/>
        <v>#N/A</v>
      </c>
      <c r="AE920" s="377" t="e">
        <f t="shared" ca="1" si="411"/>
        <v>#N/A</v>
      </c>
      <c r="AF920" s="344"/>
      <c r="AG920" s="359">
        <f t="shared" ca="1" si="433"/>
        <v>2.5011406349198761</v>
      </c>
      <c r="AH920" s="357">
        <f t="shared" ca="1" si="434"/>
        <v>-7.227842236278649</v>
      </c>
    </row>
    <row r="921" spans="1:34" x14ac:dyDescent="0.25">
      <c r="A921" s="402">
        <f t="shared" ca="1" si="412"/>
        <v>0.1</v>
      </c>
      <c r="B921" s="357">
        <f t="shared" ca="1" si="413"/>
        <v>46.70000000000033</v>
      </c>
      <c r="C921" s="342"/>
      <c r="D921" s="359">
        <f t="shared" ca="1" si="414"/>
        <v>-0.92590032618296858</v>
      </c>
      <c r="E921" s="360">
        <f t="shared" ca="1" si="415"/>
        <v>-2.6077268403882545</v>
      </c>
      <c r="F921" s="357">
        <f t="shared" ca="1" si="416"/>
        <v>2.7672243653356041</v>
      </c>
      <c r="G921" s="359">
        <f t="shared" ca="1" si="417"/>
        <v>21.221599583362622</v>
      </c>
      <c r="H921" s="360">
        <f t="shared" ca="1" si="418"/>
        <v>-166.05682162043306</v>
      </c>
      <c r="I921" s="357">
        <f t="shared" ca="1" si="419"/>
        <v>167.40736033865687</v>
      </c>
      <c r="J921" s="359">
        <f t="shared" ca="1" si="420"/>
        <v>1726.782123487437</v>
      </c>
      <c r="K921" s="360">
        <f t="shared" ca="1" si="421"/>
        <v>101.17011770014194</v>
      </c>
      <c r="L921" s="357">
        <f t="shared" ca="1" si="406"/>
        <v>1729.7433031265775</v>
      </c>
      <c r="M921" s="359">
        <f t="shared" ca="1" si="422"/>
        <v>-1.4436881046720003</v>
      </c>
      <c r="N921" s="357">
        <f t="shared" ca="1" si="423"/>
        <v>-82.717235330946636</v>
      </c>
      <c r="O921" s="343"/>
      <c r="P921" s="363">
        <f t="shared" ca="1" si="424"/>
        <v>23</v>
      </c>
      <c r="Q921" s="357">
        <f t="shared" ca="1" si="425"/>
        <v>0</v>
      </c>
      <c r="R921" s="359">
        <f t="shared" ca="1" si="426"/>
        <v>0</v>
      </c>
      <c r="S921" s="360">
        <f t="shared" ca="1" si="427"/>
        <v>10.637999999999975</v>
      </c>
      <c r="T921" s="357">
        <f t="shared" ca="1" si="407"/>
        <v>104.35877999999975</v>
      </c>
      <c r="U921" s="364">
        <f t="shared" ca="1" si="408"/>
        <v>0</v>
      </c>
      <c r="V921" s="359">
        <f t="shared" ca="1" si="409"/>
        <v>1.2126690368314885</v>
      </c>
      <c r="W921" s="357">
        <f t="shared" ca="1" si="410"/>
        <v>77.605326180248639</v>
      </c>
      <c r="X921" s="343"/>
      <c r="Y921" s="367" t="str">
        <f t="shared" ca="1" si="428"/>
        <v/>
      </c>
      <c r="Z921" s="368" t="str">
        <f t="shared" ca="1" si="429"/>
        <v/>
      </c>
      <c r="AA921" s="369" t="str">
        <f t="shared" ca="1" si="430"/>
        <v/>
      </c>
      <c r="AB921" s="344"/>
      <c r="AC921" s="363" t="e">
        <f t="shared" ca="1" si="431"/>
        <v>#N/A</v>
      </c>
      <c r="AD921" s="376" t="e">
        <f t="shared" ca="1" si="432"/>
        <v>#N/A</v>
      </c>
      <c r="AE921" s="377" t="e">
        <f t="shared" ca="1" si="411"/>
        <v>#N/A</v>
      </c>
      <c r="AF921" s="344"/>
      <c r="AG921" s="359">
        <f t="shared" ca="1" si="433"/>
        <v>2.468382497958145</v>
      </c>
      <c r="AH921" s="357">
        <f t="shared" ca="1" si="434"/>
        <v>-7.2615446070164369</v>
      </c>
    </row>
    <row r="922" spans="1:34" x14ac:dyDescent="0.25">
      <c r="A922" s="402">
        <f t="shared" ca="1" si="412"/>
        <v>0.1</v>
      </c>
      <c r="B922" s="357">
        <f t="shared" ca="1" si="413"/>
        <v>46.800000000000331</v>
      </c>
      <c r="C922" s="342"/>
      <c r="D922" s="359">
        <f t="shared" ca="1" si="414"/>
        <v>-0.92477293292268847</v>
      </c>
      <c r="E922" s="360">
        <f t="shared" ca="1" si="415"/>
        <v>-2.573747456523499</v>
      </c>
      <c r="F922" s="357">
        <f t="shared" ca="1" si="416"/>
        <v>2.7348456898749536</v>
      </c>
      <c r="G922" s="359">
        <f t="shared" ca="1" si="417"/>
        <v>21.129122290070352</v>
      </c>
      <c r="H922" s="360">
        <f t="shared" ca="1" si="418"/>
        <v>-166.31419636608541</v>
      </c>
      <c r="I922" s="357">
        <f t="shared" ca="1" si="419"/>
        <v>167.6509818690173</v>
      </c>
      <c r="J922" s="359">
        <f t="shared" ca="1" si="420"/>
        <v>1728.8996595811086</v>
      </c>
      <c r="K922" s="360">
        <f t="shared" ca="1" si="421"/>
        <v>84.551566800816019</v>
      </c>
      <c r="L922" s="357">
        <f t="shared" ca="1" si="406"/>
        <v>1730.9659154206781</v>
      </c>
      <c r="M922" s="359">
        <f t="shared" ca="1" si="422"/>
        <v>-1.4444298699723401</v>
      </c>
      <c r="N922" s="357">
        <f t="shared" ca="1" si="423"/>
        <v>-82.759735352045368</v>
      </c>
      <c r="O922" s="343"/>
      <c r="P922" s="363">
        <f t="shared" ca="1" si="424"/>
        <v>23</v>
      </c>
      <c r="Q922" s="357">
        <f t="shared" ca="1" si="425"/>
        <v>0</v>
      </c>
      <c r="R922" s="359">
        <f t="shared" ca="1" si="426"/>
        <v>0</v>
      </c>
      <c r="S922" s="360">
        <f t="shared" ca="1" si="427"/>
        <v>10.637999999999975</v>
      </c>
      <c r="T922" s="357">
        <f t="shared" ca="1" si="407"/>
        <v>104.35877999999975</v>
      </c>
      <c r="U922" s="364">
        <f t="shared" ca="1" si="408"/>
        <v>0</v>
      </c>
      <c r="V922" s="359">
        <f t="shared" ca="1" si="409"/>
        <v>1.2146860361570426</v>
      </c>
      <c r="W922" s="357">
        <f t="shared" ca="1" si="410"/>
        <v>77.960817441544719</v>
      </c>
      <c r="X922" s="343"/>
      <c r="Y922" s="367" t="str">
        <f t="shared" ca="1" si="428"/>
        <v/>
      </c>
      <c r="Z922" s="368" t="str">
        <f t="shared" ca="1" si="429"/>
        <v/>
      </c>
      <c r="AA922" s="369" t="str">
        <f t="shared" ca="1" si="430"/>
        <v/>
      </c>
      <c r="AB922" s="344"/>
      <c r="AC922" s="363" t="e">
        <f t="shared" ca="1" si="431"/>
        <v>#N/A</v>
      </c>
      <c r="AD922" s="376" t="e">
        <f t="shared" ca="1" si="432"/>
        <v>#N/A</v>
      </c>
      <c r="AE922" s="377" t="e">
        <f t="shared" ca="1" si="411"/>
        <v>#N/A</v>
      </c>
      <c r="AF922" s="344"/>
      <c r="AG922" s="359">
        <f t="shared" ca="1" si="433"/>
        <v>2.4357540825628199</v>
      </c>
      <c r="AH922" s="357">
        <f t="shared" ca="1" si="434"/>
        <v>-7.295104923881258</v>
      </c>
    </row>
    <row r="923" spans="1:34" x14ac:dyDescent="0.25">
      <c r="A923" s="402">
        <f t="shared" ca="1" si="412"/>
        <v>0.1</v>
      </c>
      <c r="B923" s="357">
        <f t="shared" ca="1" si="413"/>
        <v>46.900000000000333</v>
      </c>
      <c r="C923" s="342"/>
      <c r="D923" s="359">
        <f t="shared" ca="1" si="414"/>
        <v>-0.92361665063160381</v>
      </c>
      <c r="E923" s="360">
        <f t="shared" ca="1" si="415"/>
        <v>-2.5399128240494875</v>
      </c>
      <c r="F923" s="357">
        <f t="shared" ca="1" si="416"/>
        <v>2.7026329516038583</v>
      </c>
      <c r="G923" s="359">
        <f t="shared" ca="1" si="417"/>
        <v>21.036760625007194</v>
      </c>
      <c r="H923" s="360">
        <f t="shared" ca="1" si="418"/>
        <v>-166.56818764849035</v>
      </c>
      <c r="I923" s="357">
        <f t="shared" ca="1" si="419"/>
        <v>167.89135306529801</v>
      </c>
      <c r="J923" s="359">
        <f t="shared" ca="1" si="420"/>
        <v>1731.0079537268625</v>
      </c>
      <c r="K923" s="360">
        <f t="shared" ca="1" si="421"/>
        <v>67.907447600087224</v>
      </c>
      <c r="L923" s="357">
        <f t="shared" ca="1" si="406"/>
        <v>1732.3394463283512</v>
      </c>
      <c r="M923" s="359">
        <f t="shared" ca="1" si="422"/>
        <v>-1.4451662738605133</v>
      </c>
      <c r="N923" s="357">
        <f t="shared" ca="1" si="423"/>
        <v>-82.801928186854724</v>
      </c>
      <c r="O923" s="343"/>
      <c r="P923" s="363">
        <f t="shared" ca="1" si="424"/>
        <v>23</v>
      </c>
      <c r="Q923" s="357">
        <f t="shared" ca="1" si="425"/>
        <v>0</v>
      </c>
      <c r="R923" s="359">
        <f t="shared" ca="1" si="426"/>
        <v>0</v>
      </c>
      <c r="S923" s="360">
        <f t="shared" ca="1" si="427"/>
        <v>10.637999999999975</v>
      </c>
      <c r="T923" s="357">
        <f t="shared" ca="1" si="407"/>
        <v>104.35877999999975</v>
      </c>
      <c r="U923" s="364">
        <f t="shared" ca="1" si="408"/>
        <v>0</v>
      </c>
      <c r="V923" s="359">
        <f t="shared" ca="1" si="409"/>
        <v>1.216709487047684</v>
      </c>
      <c r="W923" s="357">
        <f t="shared" ca="1" si="410"/>
        <v>78.314773360047468</v>
      </c>
      <c r="X923" s="343"/>
      <c r="Y923" s="367" t="str">
        <f t="shared" ca="1" si="428"/>
        <v/>
      </c>
      <c r="Z923" s="368" t="str">
        <f t="shared" ca="1" si="429"/>
        <v/>
      </c>
      <c r="AA923" s="369" t="str">
        <f t="shared" ca="1" si="430"/>
        <v/>
      </c>
      <c r="AB923" s="344"/>
      <c r="AC923" s="363" t="e">
        <f t="shared" ca="1" si="431"/>
        <v>#N/A</v>
      </c>
      <c r="AD923" s="376" t="e">
        <f t="shared" ca="1" si="432"/>
        <v>#N/A</v>
      </c>
      <c r="AE923" s="377" t="e">
        <f t="shared" ca="1" si="411"/>
        <v>#N/A</v>
      </c>
      <c r="AF923" s="344"/>
      <c r="AG923" s="359">
        <f t="shared" ca="1" si="433"/>
        <v>2.4032567332420962</v>
      </c>
      <c r="AH923" s="357">
        <f t="shared" ca="1" si="434"/>
        <v>-7.328522038122288</v>
      </c>
    </row>
    <row r="924" spans="1:34" x14ac:dyDescent="0.25">
      <c r="A924" s="402">
        <f t="shared" ca="1" si="412"/>
        <v>0.1</v>
      </c>
      <c r="B924" s="357">
        <f t="shared" ca="1" si="413"/>
        <v>47.000000000000334</v>
      </c>
      <c r="C924" s="342"/>
      <c r="D924" s="359">
        <f t="shared" ca="1" si="414"/>
        <v>-0.92243175541530686</v>
      </c>
      <c r="E924" s="360">
        <f t="shared" ca="1" si="415"/>
        <v>-2.506224078040975</v>
      </c>
      <c r="F924" s="357">
        <f t="shared" ca="1" si="416"/>
        <v>2.6705878515321118</v>
      </c>
      <c r="G924" s="359">
        <f t="shared" ca="1" si="417"/>
        <v>20.944517449465664</v>
      </c>
      <c r="H924" s="360">
        <f t="shared" ca="1" si="418"/>
        <v>-166.81881005629444</v>
      </c>
      <c r="I924" s="357">
        <f t="shared" ca="1" si="419"/>
        <v>168.12848717510371</v>
      </c>
      <c r="J924" s="359">
        <f t="shared" ca="1" si="420"/>
        <v>1733.1070176305861</v>
      </c>
      <c r="K924" s="360">
        <f t="shared" ca="1" si="421"/>
        <v>51.238097714847981</v>
      </c>
      <c r="L924" s="357">
        <f t="shared" ca="1" si="406"/>
        <v>1733.8642614743003</v>
      </c>
      <c r="M924" s="359">
        <f t="shared" ca="1" si="422"/>
        <v>-1.445897376373823</v>
      </c>
      <c r="N924" s="357">
        <f t="shared" ca="1" si="423"/>
        <v>-82.843817275258772</v>
      </c>
      <c r="O924" s="343"/>
      <c r="P924" s="363">
        <f t="shared" ca="1" si="424"/>
        <v>23</v>
      </c>
      <c r="Q924" s="357">
        <f t="shared" ca="1" si="425"/>
        <v>0</v>
      </c>
      <c r="R924" s="359">
        <f t="shared" ca="1" si="426"/>
        <v>0</v>
      </c>
      <c r="S924" s="360">
        <f t="shared" ca="1" si="427"/>
        <v>10.637999999999975</v>
      </c>
      <c r="T924" s="357">
        <f t="shared" ca="1" si="407"/>
        <v>104.35877999999975</v>
      </c>
      <c r="U924" s="364">
        <f t="shared" ca="1" si="408"/>
        <v>0</v>
      </c>
      <c r="V924" s="359">
        <f t="shared" ca="1" si="409"/>
        <v>1.2187393721629745</v>
      </c>
      <c r="W924" s="357">
        <f t="shared" ca="1" si="410"/>
        <v>78.667182248949743</v>
      </c>
      <c r="X924" s="343"/>
      <c r="Y924" s="367" t="str">
        <f t="shared" ca="1" si="428"/>
        <v/>
      </c>
      <c r="Z924" s="368" t="str">
        <f t="shared" ca="1" si="429"/>
        <v/>
      </c>
      <c r="AA924" s="369" t="str">
        <f t="shared" ca="1" si="430"/>
        <v/>
      </c>
      <c r="AB924" s="344"/>
      <c r="AC924" s="363">
        <f t="shared" ca="1" si="431"/>
        <v>47.000000000000334</v>
      </c>
      <c r="AD924" s="376">
        <f t="shared" ca="1" si="432"/>
        <v>1733.1070176305861</v>
      </c>
      <c r="AE924" s="377" t="e">
        <f t="shared" ca="1" si="411"/>
        <v>#N/A</v>
      </c>
      <c r="AF924" s="344"/>
      <c r="AG924" s="359">
        <f t="shared" ca="1" si="433"/>
        <v>2.3708917655449611</v>
      </c>
      <c r="AH924" s="357">
        <f t="shared" ca="1" si="434"/>
        <v>-7.3617948260996098</v>
      </c>
    </row>
    <row r="925" spans="1:34" x14ac:dyDescent="0.25">
      <c r="A925" s="402">
        <f t="shared" ca="1" si="412"/>
        <v>0.1</v>
      </c>
      <c r="B925" s="357">
        <f t="shared" ca="1" si="413"/>
        <v>47.100000000000335</v>
      </c>
      <c r="C925" s="342"/>
      <c r="D925" s="359">
        <f t="shared" ca="1" si="414"/>
        <v>-0.92121852418920824</v>
      </c>
      <c r="E925" s="360">
        <f t="shared" ca="1" si="415"/>
        <v>-2.4726823283063926</v>
      </c>
      <c r="F925" s="357">
        <f t="shared" ca="1" si="416"/>
        <v>2.6387120847163423</v>
      </c>
      <c r="G925" s="359">
        <f t="shared" ca="1" si="417"/>
        <v>20.852395597046744</v>
      </c>
      <c r="H925" s="360">
        <f t="shared" ca="1" si="418"/>
        <v>-167.06607828912507</v>
      </c>
      <c r="I925" s="357">
        <f t="shared" ca="1" si="419"/>
        <v>168.3623975745291</v>
      </c>
      <c r="J925" s="359">
        <f t="shared" ca="1" si="420"/>
        <v>1735.1968632829119</v>
      </c>
      <c r="K925" s="360">
        <f t="shared" ca="1" si="421"/>
        <v>34.543853297577002</v>
      </c>
      <c r="L925" s="357">
        <f t="shared" ca="1" si="406"/>
        <v>1735.5406742993669</v>
      </c>
      <c r="M925" s="359">
        <f t="shared" ca="1" si="422"/>
        <v>-1.4466232365963192</v>
      </c>
      <c r="N925" s="357">
        <f t="shared" ca="1" si="423"/>
        <v>-82.885406002524221</v>
      </c>
      <c r="O925" s="343"/>
      <c r="P925" s="363">
        <f t="shared" ca="1" si="424"/>
        <v>23</v>
      </c>
      <c r="Q925" s="357">
        <f t="shared" ca="1" si="425"/>
        <v>0</v>
      </c>
      <c r="R925" s="359">
        <f t="shared" ca="1" si="426"/>
        <v>0</v>
      </c>
      <c r="S925" s="360">
        <f t="shared" ca="1" si="427"/>
        <v>10.637999999999975</v>
      </c>
      <c r="T925" s="357">
        <f t="shared" ca="1" si="407"/>
        <v>104.35877999999975</v>
      </c>
      <c r="U925" s="364">
        <f t="shared" ca="1" si="408"/>
        <v>0</v>
      </c>
      <c r="V925" s="359">
        <f t="shared" ca="1" si="409"/>
        <v>1.2207756741955902</v>
      </c>
      <c r="W925" s="357">
        <f t="shared" ca="1" si="410"/>
        <v>79.018032687216007</v>
      </c>
      <c r="X925" s="343"/>
      <c r="Y925" s="367" t="str">
        <f t="shared" ca="1" si="428"/>
        <v/>
      </c>
      <c r="Z925" s="368" t="str">
        <f t="shared" ca="1" si="429"/>
        <v/>
      </c>
      <c r="AA925" s="369" t="str">
        <f t="shared" ca="1" si="430"/>
        <v/>
      </c>
      <c r="AB925" s="344"/>
      <c r="AC925" s="363" t="e">
        <f t="shared" ca="1" si="431"/>
        <v>#N/A</v>
      </c>
      <c r="AD925" s="376" t="e">
        <f t="shared" ca="1" si="432"/>
        <v>#N/A</v>
      </c>
      <c r="AE925" s="377" t="e">
        <f t="shared" ca="1" si="411"/>
        <v>#N/A</v>
      </c>
      <c r="AF925" s="344"/>
      <c r="AG925" s="359">
        <f t="shared" ca="1" si="433"/>
        <v>2.3386604662131996</v>
      </c>
      <c r="AH925" s="357">
        <f t="shared" ca="1" si="434"/>
        <v>-7.3949221892225916</v>
      </c>
    </row>
    <row r="926" spans="1:34" x14ac:dyDescent="0.25">
      <c r="A926" s="402">
        <f t="shared" ca="1" si="412"/>
        <v>0.1</v>
      </c>
      <c r="B926" s="357">
        <f t="shared" ca="1" si="413"/>
        <v>47.200000000000337</v>
      </c>
      <c r="C926" s="342"/>
      <c r="D926" s="359">
        <f t="shared" ca="1" si="414"/>
        <v>-0.91997723462884295</v>
      </c>
      <c r="E926" s="360">
        <f t="shared" ca="1" si="415"/>
        <v>-2.4392886594534584</v>
      </c>
      <c r="F926" s="357">
        <f t="shared" ca="1" si="416"/>
        <v>2.6070073410663008</v>
      </c>
      <c r="G926" s="359">
        <f t="shared" ca="1" si="417"/>
        <v>20.760397873583859</v>
      </c>
      <c r="H926" s="360">
        <f t="shared" ca="1" si="418"/>
        <v>-167.31000715507042</v>
      </c>
      <c r="I926" s="357">
        <f t="shared" ca="1" si="419"/>
        <v>168.59309776529767</v>
      </c>
      <c r="J926" s="359">
        <f t="shared" ca="1" si="420"/>
        <v>1737.2775029564434</v>
      </c>
      <c r="K926" s="360">
        <f t="shared" ca="1" si="421"/>
        <v>17.825049025367225</v>
      </c>
      <c r="L926" s="357">
        <f t="shared" ca="1" si="406"/>
        <v>1737.3689460363139</v>
      </c>
      <c r="M926" s="359">
        <f t="shared" ca="1" si="422"/>
        <v>-1.4473439126772556</v>
      </c>
      <c r="N926" s="357">
        <f t="shared" ca="1" si="423"/>
        <v>-82.926697700357906</v>
      </c>
      <c r="O926" s="343"/>
      <c r="P926" s="363">
        <f t="shared" ca="1" si="424"/>
        <v>23</v>
      </c>
      <c r="Q926" s="357">
        <f t="shared" ca="1" si="425"/>
        <v>0</v>
      </c>
      <c r="R926" s="359">
        <f t="shared" ca="1" si="426"/>
        <v>0</v>
      </c>
      <c r="S926" s="360">
        <f t="shared" ca="1" si="427"/>
        <v>10.637999999999975</v>
      </c>
      <c r="T926" s="357">
        <f t="shared" ca="1" si="407"/>
        <v>104.35877999999975</v>
      </c>
      <c r="U926" s="364">
        <f t="shared" ca="1" si="408"/>
        <v>0</v>
      </c>
      <c r="V926" s="359">
        <f t="shared" ca="1" si="409"/>
        <v>1.2228183758722442</v>
      </c>
      <c r="W926" s="357">
        <f t="shared" ca="1" si="410"/>
        <v>79.367313518832219</v>
      </c>
      <c r="X926" s="343"/>
      <c r="Y926" s="367" t="str">
        <f t="shared" ca="1" si="428"/>
        <v/>
      </c>
      <c r="Z926" s="368" t="str">
        <f t="shared" ca="1" si="429"/>
        <v/>
      </c>
      <c r="AA926" s="369" t="str">
        <f t="shared" ca="1" si="430"/>
        <v/>
      </c>
      <c r="AB926" s="344"/>
      <c r="AC926" s="363" t="e">
        <f t="shared" ca="1" si="431"/>
        <v>#N/A</v>
      </c>
      <c r="AD926" s="376" t="e">
        <f t="shared" ca="1" si="432"/>
        <v>#N/A</v>
      </c>
      <c r="AE926" s="377" t="e">
        <f t="shared" ca="1" si="411"/>
        <v>#N/A</v>
      </c>
      <c r="AF926" s="344"/>
      <c r="AG926" s="359">
        <f t="shared" ca="1" si="433"/>
        <v>2.3065640933354041</v>
      </c>
      <c r="AH926" s="357">
        <f t="shared" ca="1" si="434"/>
        <v>-7.4279030538838304</v>
      </c>
    </row>
    <row r="927" spans="1:34" x14ac:dyDescent="0.25">
      <c r="A927" s="402">
        <f t="shared" ca="1" si="412"/>
        <v>0.1</v>
      </c>
      <c r="B927" s="357">
        <f t="shared" ca="1" si="413"/>
        <v>47.300000000000338</v>
      </c>
      <c r="C927" s="342"/>
      <c r="D927" s="359">
        <f t="shared" ca="1" si="414"/>
        <v>-0.9187081651205532</v>
      </c>
      <c r="E927" s="360">
        <f t="shared" ca="1" si="415"/>
        <v>-2.4060441309592999</v>
      </c>
      <c r="F927" s="357">
        <f t="shared" ca="1" si="416"/>
        <v>2.5754753061877467</v>
      </c>
      <c r="G927" s="359">
        <f t="shared" ca="1" si="417"/>
        <v>20.668527057071802</v>
      </c>
      <c r="H927" s="360">
        <f t="shared" ca="1" si="418"/>
        <v>-167.55061156816635</v>
      </c>
      <c r="I927" s="357">
        <f t="shared" ca="1" si="419"/>
        <v>168.8206013719163</v>
      </c>
      <c r="J927" s="359">
        <f t="shared" ca="1" si="420"/>
        <v>1739.3489492029762</v>
      </c>
      <c r="K927" s="360">
        <f t="shared" ca="1" si="421"/>
        <v>1.0820180892053841</v>
      </c>
      <c r="L927" s="357">
        <f t="shared" ca="1" si="406"/>
        <v>1739.3492857550614</v>
      </c>
      <c r="M927" s="359">
        <f t="shared" ca="1" si="422"/>
        <v>-1.4480594618491276</v>
      </c>
      <c r="N927" s="357">
        <f t="shared" ca="1" si="423"/>
        <v>-82.967695647940261</v>
      </c>
      <c r="O927" s="343"/>
      <c r="P927" s="363">
        <f t="shared" ca="1" si="424"/>
        <v>23</v>
      </c>
      <c r="Q927" s="357">
        <f t="shared" ca="1" si="425"/>
        <v>0</v>
      </c>
      <c r="R927" s="359">
        <f t="shared" ca="1" si="426"/>
        <v>0</v>
      </c>
      <c r="S927" s="360">
        <f t="shared" ca="1" si="427"/>
        <v>10.637999999999975</v>
      </c>
      <c r="T927" s="357">
        <f t="shared" ca="1" si="407"/>
        <v>104.35877999999975</v>
      </c>
      <c r="U927" s="364">
        <f t="shared" ca="1" si="408"/>
        <v>0</v>
      </c>
      <c r="V927" s="359">
        <f t="shared" ca="1" si="409"/>
        <v>1.2248674599546088</v>
      </c>
      <c r="W927" s="357">
        <f t="shared" ca="1" si="410"/>
        <v>79.715013852009903</v>
      </c>
      <c r="X927" s="343"/>
      <c r="Y927" s="367" t="str">
        <f t="shared" ca="1" si="428"/>
        <v/>
      </c>
      <c r="Z927" s="368" t="str">
        <f t="shared" ca="1" si="429"/>
        <v/>
      </c>
      <c r="AA927" s="369" t="str">
        <f t="shared" ca="1" si="430"/>
        <v/>
      </c>
      <c r="AB927" s="344"/>
      <c r="AC927" s="363" t="e">
        <f t="shared" ca="1" si="431"/>
        <v>#N/A</v>
      </c>
      <c r="AD927" s="376" t="e">
        <f t="shared" ca="1" si="432"/>
        <v>#N/A</v>
      </c>
      <c r="AE927" s="377" t="e">
        <f t="shared" ca="1" si="411"/>
        <v>#N/A</v>
      </c>
      <c r="AF927" s="344"/>
      <c r="AG927" s="359">
        <f t="shared" ca="1" si="433"/>
        <v>2.2746038765030434</v>
      </c>
      <c r="AH927" s="357">
        <f t="shared" ca="1" si="434"/>
        <v>-7.460736371388645</v>
      </c>
    </row>
    <row r="928" spans="1:34" x14ac:dyDescent="0.25">
      <c r="A928" s="402">
        <f t="shared" ca="1" si="412"/>
        <v>0.1</v>
      </c>
      <c r="B928" s="357">
        <f t="shared" ca="1" si="413"/>
        <v>47.40000000000034</v>
      </c>
      <c r="C928" s="342"/>
      <c r="D928" s="359">
        <f t="shared" ca="1" si="414"/>
        <v>-0.91741159471254885</v>
      </c>
      <c r="E928" s="360">
        <f t="shared" ca="1" si="415"/>
        <v>-2.372949777244969</v>
      </c>
      <c r="F928" s="357">
        <f t="shared" ca="1" si="416"/>
        <v>2.5441176622632788</v>
      </c>
      <c r="G928" s="359">
        <f t="shared" ca="1" si="417"/>
        <v>20.576785897600548</v>
      </c>
      <c r="H928" s="360">
        <f t="shared" ca="1" si="418"/>
        <v>-167.78790654589085</v>
      </c>
      <c r="I928" s="357">
        <f t="shared" ca="1" si="419"/>
        <v>169.04492213884538</v>
      </c>
      <c r="J928" s="359">
        <f t="shared" ca="1" si="420"/>
        <v>1741.4112148507097</v>
      </c>
      <c r="K928" s="360">
        <f t="shared" ca="1" si="421"/>
        <v>-15.684907816497475</v>
      </c>
      <c r="L928" s="357">
        <f t="shared" ca="1" si="406"/>
        <v>1741.481850477069</v>
      </c>
      <c r="M928" s="359">
        <f t="shared" ca="1" si="422"/>
        <v>-1.4487699404453005</v>
      </c>
      <c r="N928" s="357">
        <f t="shared" ca="1" si="423"/>
        <v>-83.008403072935351</v>
      </c>
      <c r="O928" s="343"/>
      <c r="P928" s="363">
        <f t="shared" ca="1" si="424"/>
        <v>23</v>
      </c>
      <c r="Q928" s="357">
        <f t="shared" ca="1" si="425"/>
        <v>0</v>
      </c>
      <c r="R928" s="359">
        <f t="shared" ca="1" si="426"/>
        <v>0</v>
      </c>
      <c r="S928" s="360">
        <f t="shared" ca="1" si="427"/>
        <v>10.637999999999975</v>
      </c>
      <c r="T928" s="357">
        <f t="shared" ca="1" si="407"/>
        <v>104.35877999999975</v>
      </c>
      <c r="U928" s="364">
        <f t="shared" ca="1" si="408"/>
        <v>0</v>
      </c>
      <c r="V928" s="359">
        <f t="shared" ca="1" si="409"/>
        <v>1.2269229092402294</v>
      </c>
      <c r="W928" s="357">
        <f t="shared" ca="1" si="410"/>
        <v>80.061123058344464</v>
      </c>
      <c r="X928" s="343"/>
      <c r="Y928" s="367" t="str">
        <f t="shared" ca="1" si="428"/>
        <v>Impact balistique</v>
      </c>
      <c r="Z928" s="368" t="str">
        <f t="shared" ca="1" si="429"/>
        <v/>
      </c>
      <c r="AA928" s="369" t="str">
        <f t="shared" ca="1" si="430"/>
        <v/>
      </c>
      <c r="AB928" s="344"/>
      <c r="AC928" s="363" t="e">
        <f t="shared" ca="1" si="431"/>
        <v>#N/A</v>
      </c>
      <c r="AD928" s="376" t="e">
        <f t="shared" ca="1" si="432"/>
        <v>#N/A</v>
      </c>
      <c r="AE928" s="377" t="e">
        <f t="shared" ca="1" si="411"/>
        <v>#N/A</v>
      </c>
      <c r="AF928" s="344"/>
      <c r="AG928" s="359">
        <f t="shared" ca="1" si="433"/>
        <v>2.2427810169685642</v>
      </c>
      <c r="AH928" s="357">
        <f t="shared" ca="1" si="434"/>
        <v>-7.4934211178802492</v>
      </c>
    </row>
    <row r="929" spans="1:34" x14ac:dyDescent="0.25">
      <c r="A929" s="402">
        <f t="shared" ca="1" si="412"/>
        <v>1E-4</v>
      </c>
      <c r="B929" s="357">
        <f t="shared" ca="1" si="413"/>
        <v>47.400100000000343</v>
      </c>
      <c r="C929" s="342"/>
      <c r="D929" s="359">
        <f t="shared" ca="1" si="414"/>
        <v>-0.91608780306636883</v>
      </c>
      <c r="E929" s="360">
        <f t="shared" ca="1" si="415"/>
        <v>-2.3400066077543071</v>
      </c>
      <c r="F929" s="357">
        <f t="shared" ca="1" si="416"/>
        <v>2.5129360889725758</v>
      </c>
      <c r="G929" s="359">
        <f t="shared" ca="1" si="417"/>
        <v>20.576694288820242</v>
      </c>
      <c r="H929" s="360">
        <f t="shared" ca="1" si="418"/>
        <v>-167.78814054655163</v>
      </c>
      <c r="I929" s="357">
        <f t="shared" ca="1" si="419"/>
        <v>169.04514324855634</v>
      </c>
      <c r="J929" s="359">
        <f t="shared" ca="1" si="420"/>
        <v>1741.4112148507097</v>
      </c>
      <c r="K929" s="360">
        <f t="shared" ca="1" si="421"/>
        <v>-15.701686618852097</v>
      </c>
      <c r="L929" s="357">
        <f t="shared" ca="1" si="406"/>
        <v>1741.4820016785993</v>
      </c>
      <c r="M929" s="359">
        <f t="shared" ca="1" si="422"/>
        <v>-1.4487706468307073</v>
      </c>
      <c r="N929" s="357">
        <f t="shared" ca="1" si="423"/>
        <v>-83.008443545837864</v>
      </c>
      <c r="O929" s="343"/>
      <c r="P929" s="363">
        <f t="shared" ca="1" si="424"/>
        <v>23</v>
      </c>
      <c r="Q929" s="357">
        <f t="shared" ca="1" si="425"/>
        <v>0</v>
      </c>
      <c r="R929" s="359">
        <f t="shared" ca="1" si="426"/>
        <v>0</v>
      </c>
      <c r="S929" s="360">
        <f t="shared" ca="1" si="427"/>
        <v>10.637999999999975</v>
      </c>
      <c r="T929" s="357">
        <f t="shared" ca="1" si="407"/>
        <v>104.35877999999975</v>
      </c>
      <c r="U929" s="364">
        <f t="shared" ca="1" si="408"/>
        <v>0</v>
      </c>
      <c r="V929" s="359">
        <f t="shared" ca="1" si="409"/>
        <v>1.2269249678729244</v>
      </c>
      <c r="W929" s="357">
        <f t="shared" ca="1" si="410"/>
        <v>80.061466830910305</v>
      </c>
      <c r="X929" s="343"/>
      <c r="Y929" s="367" t="str">
        <f t="shared" ca="1" si="428"/>
        <v/>
      </c>
      <c r="Z929" s="368" t="str">
        <f t="shared" ca="1" si="429"/>
        <v/>
      </c>
      <c r="AA929" s="369" t="str">
        <f t="shared" ca="1" si="430"/>
        <v/>
      </c>
      <c r="AB929" s="344"/>
      <c r="AC929" s="363" t="e">
        <f t="shared" ca="1" si="431"/>
        <v>#N/A</v>
      </c>
      <c r="AD929" s="376" t="e">
        <f t="shared" ca="1" si="432"/>
        <v>#N/A</v>
      </c>
      <c r="AE929" s="377" t="e">
        <f t="shared" ca="1" si="411"/>
        <v>#N/A</v>
      </c>
      <c r="AF929" s="344"/>
      <c r="AG929" s="359">
        <f t="shared" ca="1" si="433"/>
        <v>2.2110966878055418</v>
      </c>
      <c r="AH929" s="357">
        <f t="shared" ca="1" si="434"/>
        <v>-7.5259562942606362</v>
      </c>
    </row>
    <row r="930" spans="1:34" x14ac:dyDescent="0.25">
      <c r="A930" s="402">
        <f t="shared" ca="1" si="412"/>
        <v>1E-4</v>
      </c>
      <c r="B930" s="357">
        <f t="shared" ca="1" si="413"/>
        <v>47.400200000000346</v>
      </c>
      <c r="C930" s="342"/>
      <c r="D930" s="359">
        <f t="shared" ca="1" si="414"/>
        <v>-0.9160864599169477</v>
      </c>
      <c r="E930" s="360">
        <f t="shared" ca="1" si="415"/>
        <v>-2.3399738854140963</v>
      </c>
      <c r="F930" s="357">
        <f t="shared" ca="1" si="416"/>
        <v>2.5129051288226361</v>
      </c>
      <c r="G930" s="359">
        <f t="shared" ca="1" si="417"/>
        <v>20.576602680174251</v>
      </c>
      <c r="H930" s="360">
        <f t="shared" ca="1" si="418"/>
        <v>-167.78837454394017</v>
      </c>
      <c r="I930" s="357">
        <f t="shared" ca="1" si="419"/>
        <v>169.04536435512009</v>
      </c>
      <c r="J930" s="359">
        <f t="shared" ca="1" si="420"/>
        <v>1741.4112148507097</v>
      </c>
      <c r="K930" s="360">
        <f t="shared" ca="1" si="421"/>
        <v>-15.718465444606622</v>
      </c>
      <c r="L930" s="357">
        <f t="shared" ca="1" si="406"/>
        <v>1741.4821530419879</v>
      </c>
      <c r="M930" s="359">
        <f t="shared" ca="1" si="422"/>
        <v>-1.4487713532111215</v>
      </c>
      <c r="N930" s="357">
        <f t="shared" ca="1" si="423"/>
        <v>-83.008484018454325</v>
      </c>
      <c r="O930" s="343"/>
      <c r="P930" s="363">
        <f t="shared" ca="1" si="424"/>
        <v>23</v>
      </c>
      <c r="Q930" s="357">
        <f t="shared" ca="1" si="425"/>
        <v>0</v>
      </c>
      <c r="R930" s="359">
        <f t="shared" ca="1" si="426"/>
        <v>0</v>
      </c>
      <c r="S930" s="360">
        <f t="shared" ca="1" si="427"/>
        <v>10.637999999999975</v>
      </c>
      <c r="T930" s="357">
        <f t="shared" ca="1" si="407"/>
        <v>104.35877999999975</v>
      </c>
      <c r="U930" s="364">
        <f t="shared" ca="1" si="408"/>
        <v>0</v>
      </c>
      <c r="V930" s="359">
        <f t="shared" ca="1" si="409"/>
        <v>1.2269270265119463</v>
      </c>
      <c r="W930" s="357">
        <f t="shared" ca="1" si="410"/>
        <v>80.061810601884659</v>
      </c>
      <c r="X930" s="343"/>
      <c r="Y930" s="367" t="str">
        <f t="shared" ca="1" si="428"/>
        <v/>
      </c>
      <c r="Z930" s="368" t="str">
        <f t="shared" ca="1" si="429"/>
        <v/>
      </c>
      <c r="AA930" s="369" t="str">
        <f t="shared" ca="1" si="430"/>
        <v/>
      </c>
      <c r="AB930" s="344"/>
      <c r="AC930" s="363" t="e">
        <f t="shared" ca="1" si="431"/>
        <v>#N/A</v>
      </c>
      <c r="AD930" s="376" t="e">
        <f t="shared" ca="1" si="432"/>
        <v>#N/A</v>
      </c>
      <c r="AE930" s="377" t="e">
        <f t="shared" ca="1" si="411"/>
        <v>#N/A</v>
      </c>
      <c r="AF930" s="344"/>
      <c r="AG930" s="359">
        <f t="shared" ca="1" si="433"/>
        <v>2.211065215779124</v>
      </c>
      <c r="AH930" s="357">
        <f t="shared" ca="1" si="434"/>
        <v>-7.5259886097866602</v>
      </c>
    </row>
    <row r="931" spans="1:34" x14ac:dyDescent="0.25">
      <c r="A931" s="402">
        <f t="shared" ca="1" si="412"/>
        <v>1E-4</v>
      </c>
      <c r="B931" s="357">
        <f t="shared" ca="1" si="413"/>
        <v>47.40030000000035</v>
      </c>
      <c r="C931" s="342"/>
      <c r="D931" s="359">
        <f t="shared" ca="1" si="414"/>
        <v>-0.91608511674083992</v>
      </c>
      <c r="E931" s="360">
        <f t="shared" ca="1" si="415"/>
        <v>-2.3399411632251201</v>
      </c>
      <c r="F931" s="357">
        <f t="shared" ca="1" si="416"/>
        <v>2.5128741688491698</v>
      </c>
      <c r="G931" s="359">
        <f t="shared" ca="1" si="417"/>
        <v>20.576511071662576</v>
      </c>
      <c r="H931" s="360">
        <f t="shared" ca="1" si="418"/>
        <v>-167.78860853805648</v>
      </c>
      <c r="I931" s="357">
        <f t="shared" ca="1" si="419"/>
        <v>169.04558545853664</v>
      </c>
      <c r="J931" s="359">
        <f t="shared" ca="1" si="420"/>
        <v>1741.4112148507097</v>
      </c>
      <c r="K931" s="360">
        <f t="shared" ca="1" si="421"/>
        <v>-15.735244293760722</v>
      </c>
      <c r="L931" s="357">
        <f t="shared" ca="1" si="406"/>
        <v>1741.4823045672354</v>
      </c>
      <c r="M931" s="359">
        <f t="shared" ca="1" si="422"/>
        <v>-1.4487720595865428</v>
      </c>
      <c r="N931" s="357">
        <f t="shared" ca="1" si="423"/>
        <v>-83.008524490784723</v>
      </c>
      <c r="O931" s="343"/>
      <c r="P931" s="363">
        <f t="shared" ca="1" si="424"/>
        <v>23</v>
      </c>
      <c r="Q931" s="357">
        <f t="shared" ca="1" si="425"/>
        <v>0</v>
      </c>
      <c r="R931" s="359">
        <f t="shared" ca="1" si="426"/>
        <v>0</v>
      </c>
      <c r="S931" s="360">
        <f t="shared" ca="1" si="427"/>
        <v>10.637999999999975</v>
      </c>
      <c r="T931" s="357">
        <f t="shared" ca="1" si="407"/>
        <v>104.35877999999975</v>
      </c>
      <c r="U931" s="364">
        <f t="shared" ca="1" si="408"/>
        <v>0</v>
      </c>
      <c r="V931" s="359">
        <f t="shared" ca="1" si="409"/>
        <v>1.2269290851572963</v>
      </c>
      <c r="W931" s="357">
        <f t="shared" ca="1" si="410"/>
        <v>80.06215437126761</v>
      </c>
      <c r="X931" s="343"/>
      <c r="Y931" s="367" t="str">
        <f t="shared" ca="1" si="428"/>
        <v/>
      </c>
      <c r="Z931" s="368" t="str">
        <f t="shared" ca="1" si="429"/>
        <v/>
      </c>
      <c r="AA931" s="369" t="str">
        <f t="shared" ca="1" si="430"/>
        <v/>
      </c>
      <c r="AB931" s="344"/>
      <c r="AC931" s="363" t="e">
        <f t="shared" ca="1" si="431"/>
        <v>#N/A</v>
      </c>
      <c r="AD931" s="376" t="e">
        <f t="shared" ca="1" si="432"/>
        <v>#N/A</v>
      </c>
      <c r="AE931" s="377" t="e">
        <f t="shared" ca="1" si="411"/>
        <v>#N/A</v>
      </c>
      <c r="AF931" s="344"/>
      <c r="AG931" s="359">
        <f t="shared" ca="1" si="433"/>
        <v>2.2110337438914902</v>
      </c>
      <c r="AH931" s="357">
        <f t="shared" ca="1" si="434"/>
        <v>-7.5260209251630803</v>
      </c>
    </row>
    <row r="932" spans="1:34" x14ac:dyDescent="0.25">
      <c r="A932" s="402">
        <f t="shared" ca="1" si="412"/>
        <v>1E-4</v>
      </c>
      <c r="B932" s="357">
        <f t="shared" ca="1" si="413"/>
        <v>47.400400000000353</v>
      </c>
      <c r="C932" s="342"/>
      <c r="D932" s="359">
        <f t="shared" ca="1" si="414"/>
        <v>-0.91608377353804882</v>
      </c>
      <c r="E932" s="360">
        <f t="shared" ca="1" si="415"/>
        <v>-2.3399084411873741</v>
      </c>
      <c r="F932" s="357">
        <f t="shared" ca="1" si="416"/>
        <v>2.5128432090521762</v>
      </c>
      <c r="G932" s="359">
        <f t="shared" ca="1" si="417"/>
        <v>20.576419463285223</v>
      </c>
      <c r="H932" s="360">
        <f t="shared" ca="1" si="418"/>
        <v>-167.7888425289006</v>
      </c>
      <c r="I932" s="357">
        <f t="shared" ca="1" si="419"/>
        <v>169.04580655880602</v>
      </c>
      <c r="J932" s="359">
        <f t="shared" ca="1" si="420"/>
        <v>1741.4112148507097</v>
      </c>
      <c r="K932" s="360">
        <f t="shared" ca="1" si="421"/>
        <v>-15.75202316631407</v>
      </c>
      <c r="L932" s="357">
        <f t="shared" ca="1" si="406"/>
        <v>1741.482456254342</v>
      </c>
      <c r="M932" s="359">
        <f t="shared" ca="1" si="422"/>
        <v>-1.4487727659569716</v>
      </c>
      <c r="N932" s="357">
        <f t="shared" ca="1" si="423"/>
        <v>-83.00856496282907</v>
      </c>
      <c r="O932" s="343"/>
      <c r="P932" s="363">
        <f t="shared" ca="1" si="424"/>
        <v>23</v>
      </c>
      <c r="Q932" s="357">
        <f t="shared" ca="1" si="425"/>
        <v>0</v>
      </c>
      <c r="R932" s="359">
        <f t="shared" ca="1" si="426"/>
        <v>0</v>
      </c>
      <c r="S932" s="360">
        <f t="shared" ca="1" si="427"/>
        <v>10.637999999999975</v>
      </c>
      <c r="T932" s="357">
        <f t="shared" ca="1" si="407"/>
        <v>104.35877999999975</v>
      </c>
      <c r="U932" s="364">
        <f t="shared" ca="1" si="408"/>
        <v>0</v>
      </c>
      <c r="V932" s="359">
        <f t="shared" ca="1" si="409"/>
        <v>1.2269311438089745</v>
      </c>
      <c r="W932" s="357">
        <f t="shared" ca="1" si="410"/>
        <v>80.062498139059144</v>
      </c>
      <c r="X932" s="343"/>
      <c r="Y932" s="367" t="str">
        <f t="shared" ca="1" si="428"/>
        <v/>
      </c>
      <c r="Z932" s="368" t="str">
        <f t="shared" ca="1" si="429"/>
        <v/>
      </c>
      <c r="AA932" s="369" t="str">
        <f t="shared" ca="1" si="430"/>
        <v/>
      </c>
      <c r="AB932" s="344"/>
      <c r="AC932" s="363" t="e">
        <f t="shared" ca="1" si="431"/>
        <v>#N/A</v>
      </c>
      <c r="AD932" s="376" t="e">
        <f t="shared" ca="1" si="432"/>
        <v>#N/A</v>
      </c>
      <c r="AE932" s="377" t="e">
        <f t="shared" ca="1" si="411"/>
        <v>#N/A</v>
      </c>
      <c r="AF932" s="344"/>
      <c r="AG932" s="359">
        <f t="shared" ca="1" si="433"/>
        <v>2.2110022721426335</v>
      </c>
      <c r="AH932" s="357">
        <f t="shared" ca="1" si="434"/>
        <v>-7.5260532403899036</v>
      </c>
    </row>
    <row r="933" spans="1:34" x14ac:dyDescent="0.25">
      <c r="A933" s="402">
        <f t="shared" ca="1" si="412"/>
        <v>1E-4</v>
      </c>
      <c r="B933" s="357">
        <f t="shared" ca="1" si="413"/>
        <v>47.400500000000356</v>
      </c>
      <c r="C933" s="342"/>
      <c r="D933" s="359">
        <f t="shared" ca="1" si="414"/>
        <v>-0.91608243030857184</v>
      </c>
      <c r="E933" s="360">
        <f t="shared" ca="1" si="415"/>
        <v>-2.3398757193008555</v>
      </c>
      <c r="F933" s="357">
        <f t="shared" ca="1" si="416"/>
        <v>2.5128122494316512</v>
      </c>
      <c r="G933" s="359">
        <f t="shared" ca="1" si="417"/>
        <v>20.576327855042191</v>
      </c>
      <c r="H933" s="360">
        <f t="shared" ca="1" si="418"/>
        <v>-167.78907651647253</v>
      </c>
      <c r="I933" s="357">
        <f t="shared" ca="1" si="419"/>
        <v>169.04602765592827</v>
      </c>
      <c r="J933" s="359">
        <f t="shared" ca="1" si="420"/>
        <v>1741.4112148507097</v>
      </c>
      <c r="K933" s="360">
        <f t="shared" ca="1" si="421"/>
        <v>-15.768802062266339</v>
      </c>
      <c r="L933" s="357">
        <f t="shared" ca="1" si="406"/>
        <v>1741.4826081033091</v>
      </c>
      <c r="M933" s="359">
        <f t="shared" ca="1" si="422"/>
        <v>-1.4487734723224079</v>
      </c>
      <c r="N933" s="357">
        <f t="shared" ca="1" si="423"/>
        <v>-83.008605434587366</v>
      </c>
      <c r="O933" s="343"/>
      <c r="P933" s="363">
        <f t="shared" ca="1" si="424"/>
        <v>23</v>
      </c>
      <c r="Q933" s="357">
        <f t="shared" ca="1" si="425"/>
        <v>0</v>
      </c>
      <c r="R933" s="359">
        <f t="shared" ca="1" si="426"/>
        <v>0</v>
      </c>
      <c r="S933" s="360">
        <f t="shared" ca="1" si="427"/>
        <v>10.637999999999975</v>
      </c>
      <c r="T933" s="357">
        <f t="shared" ca="1" si="407"/>
        <v>104.35877999999975</v>
      </c>
      <c r="U933" s="364">
        <f t="shared" ca="1" si="408"/>
        <v>0</v>
      </c>
      <c r="V933" s="359">
        <f t="shared" ca="1" si="409"/>
        <v>1.2269332024669801</v>
      </c>
      <c r="W933" s="357">
        <f t="shared" ca="1" si="410"/>
        <v>80.062841905259248</v>
      </c>
      <c r="X933" s="343"/>
      <c r="Y933" s="367" t="str">
        <f t="shared" ca="1" si="428"/>
        <v/>
      </c>
      <c r="Z933" s="368" t="str">
        <f t="shared" ca="1" si="429"/>
        <v/>
      </c>
      <c r="AA933" s="369" t="str">
        <f t="shared" ca="1" si="430"/>
        <v/>
      </c>
      <c r="AB933" s="344"/>
      <c r="AC933" s="363" t="e">
        <f t="shared" ca="1" si="431"/>
        <v>#N/A</v>
      </c>
      <c r="AD933" s="376" t="e">
        <f t="shared" ca="1" si="432"/>
        <v>#N/A</v>
      </c>
      <c r="AE933" s="377" t="e">
        <f t="shared" ca="1" si="411"/>
        <v>#N/A</v>
      </c>
      <c r="AF933" s="344"/>
      <c r="AG933" s="359">
        <f t="shared" ca="1" si="433"/>
        <v>2.2109708005325501</v>
      </c>
      <c r="AH933" s="357">
        <f t="shared" ca="1" si="434"/>
        <v>-7.5260855554671302</v>
      </c>
    </row>
    <row r="934" spans="1:34" x14ac:dyDescent="0.25">
      <c r="A934" s="402">
        <f t="shared" ca="1" si="412"/>
        <v>1E-4</v>
      </c>
      <c r="B934" s="357">
        <f t="shared" ca="1" si="413"/>
        <v>47.40060000000036</v>
      </c>
      <c r="C934" s="342"/>
      <c r="D934" s="359">
        <f t="shared" ca="1" si="414"/>
        <v>-0.91608108705240965</v>
      </c>
      <c r="E934" s="360">
        <f t="shared" ca="1" si="415"/>
        <v>-2.3398429975655661</v>
      </c>
      <c r="F934" s="357">
        <f t="shared" ca="1" si="416"/>
        <v>2.5127812899875983</v>
      </c>
      <c r="G934" s="359">
        <f t="shared" ca="1" si="417"/>
        <v>20.576236246933487</v>
      </c>
      <c r="H934" s="360">
        <f t="shared" ca="1" si="418"/>
        <v>-167.7893105007723</v>
      </c>
      <c r="I934" s="357">
        <f t="shared" ca="1" si="419"/>
        <v>169.04624874990333</v>
      </c>
      <c r="J934" s="359">
        <f t="shared" ca="1" si="420"/>
        <v>1741.4112148507097</v>
      </c>
      <c r="K934" s="360">
        <f t="shared" ca="1" si="421"/>
        <v>-15.785580981617201</v>
      </c>
      <c r="L934" s="357">
        <f t="shared" ca="1" si="406"/>
        <v>1741.4827601141367</v>
      </c>
      <c r="M934" s="359">
        <f t="shared" ca="1" si="422"/>
        <v>-1.4487741786828516</v>
      </c>
      <c r="N934" s="357">
        <f t="shared" ca="1" si="423"/>
        <v>-83.008645906059598</v>
      </c>
      <c r="O934" s="343"/>
      <c r="P934" s="363">
        <f t="shared" ca="1" si="424"/>
        <v>23</v>
      </c>
      <c r="Q934" s="357">
        <f t="shared" ca="1" si="425"/>
        <v>0</v>
      </c>
      <c r="R934" s="359">
        <f t="shared" ca="1" si="426"/>
        <v>0</v>
      </c>
      <c r="S934" s="360">
        <f t="shared" ca="1" si="427"/>
        <v>10.637999999999975</v>
      </c>
      <c r="T934" s="357">
        <f t="shared" ca="1" si="407"/>
        <v>104.35877999999975</v>
      </c>
      <c r="U934" s="364">
        <f t="shared" ca="1" si="408"/>
        <v>0</v>
      </c>
      <c r="V934" s="359">
        <f t="shared" ca="1" si="409"/>
        <v>1.2269352611313136</v>
      </c>
      <c r="W934" s="357">
        <f t="shared" ca="1" si="410"/>
        <v>80.063185669867863</v>
      </c>
      <c r="X934" s="343"/>
      <c r="Y934" s="367" t="str">
        <f t="shared" ca="1" si="428"/>
        <v/>
      </c>
      <c r="Z934" s="368" t="str">
        <f t="shared" ca="1" si="429"/>
        <v/>
      </c>
      <c r="AA934" s="369" t="str">
        <f t="shared" ca="1" si="430"/>
        <v/>
      </c>
      <c r="AB934" s="344"/>
      <c r="AC934" s="363" t="e">
        <f t="shared" ca="1" si="431"/>
        <v>#N/A</v>
      </c>
      <c r="AD934" s="376" t="e">
        <f t="shared" ca="1" si="432"/>
        <v>#N/A</v>
      </c>
      <c r="AE934" s="377" t="e">
        <f t="shared" ca="1" si="411"/>
        <v>#N/A</v>
      </c>
      <c r="AF934" s="344"/>
      <c r="AG934" s="359">
        <f t="shared" ca="1" si="433"/>
        <v>2.2109393290612491</v>
      </c>
      <c r="AH934" s="357">
        <f t="shared" ca="1" si="434"/>
        <v>-7.5261178703947582</v>
      </c>
    </row>
    <row r="935" spans="1:34" x14ac:dyDescent="0.25">
      <c r="A935" s="402">
        <f t="shared" ca="1" si="412"/>
        <v>1E-4</v>
      </c>
      <c r="B935" s="357">
        <f t="shared" ca="1" si="413"/>
        <v>47.400700000000363</v>
      </c>
      <c r="C935" s="342"/>
      <c r="D935" s="359">
        <f t="shared" ca="1" si="414"/>
        <v>-0.91607974376956391</v>
      </c>
      <c r="E935" s="360">
        <f t="shared" ca="1" si="415"/>
        <v>-2.339810275981514</v>
      </c>
      <c r="F935" s="357">
        <f t="shared" ca="1" si="416"/>
        <v>2.5127503307200261</v>
      </c>
      <c r="G935" s="359">
        <f t="shared" ca="1" si="417"/>
        <v>20.576144638959111</v>
      </c>
      <c r="H935" s="360">
        <f t="shared" ca="1" si="418"/>
        <v>-167.78954448179991</v>
      </c>
      <c r="I935" s="357">
        <f t="shared" ca="1" si="419"/>
        <v>169.04646984073131</v>
      </c>
      <c r="J935" s="359">
        <f t="shared" ca="1" si="420"/>
        <v>1741.4112148507097</v>
      </c>
      <c r="K935" s="360">
        <f t="shared" ca="1" si="421"/>
        <v>-15.80235992436633</v>
      </c>
      <c r="L935" s="357">
        <f t="shared" ca="1" si="406"/>
        <v>1741.4829122868257</v>
      </c>
      <c r="M935" s="359">
        <f t="shared" ca="1" si="422"/>
        <v>-1.4487748850383031</v>
      </c>
      <c r="N935" s="357">
        <f t="shared" ca="1" si="423"/>
        <v>-83.008686377245809</v>
      </c>
      <c r="O935" s="343"/>
      <c r="P935" s="363">
        <f t="shared" ca="1" si="424"/>
        <v>23</v>
      </c>
      <c r="Q935" s="357">
        <f t="shared" ca="1" si="425"/>
        <v>0</v>
      </c>
      <c r="R935" s="359">
        <f t="shared" ca="1" si="426"/>
        <v>0</v>
      </c>
      <c r="S935" s="360">
        <f t="shared" ca="1" si="427"/>
        <v>10.637999999999975</v>
      </c>
      <c r="T935" s="357">
        <f t="shared" ca="1" si="407"/>
        <v>104.35877999999975</v>
      </c>
      <c r="U935" s="364">
        <f t="shared" ca="1" si="408"/>
        <v>0</v>
      </c>
      <c r="V935" s="359">
        <f t="shared" ca="1" si="409"/>
        <v>1.2269373198019751</v>
      </c>
      <c r="W935" s="357">
        <f t="shared" ca="1" si="410"/>
        <v>80.063529432885076</v>
      </c>
      <c r="X935" s="343"/>
      <c r="Y935" s="367" t="str">
        <f t="shared" ca="1" si="428"/>
        <v/>
      </c>
      <c r="Z935" s="368" t="str">
        <f t="shared" ca="1" si="429"/>
        <v/>
      </c>
      <c r="AA935" s="369" t="str">
        <f t="shared" ca="1" si="430"/>
        <v/>
      </c>
      <c r="AB935" s="344"/>
      <c r="AC935" s="363" t="e">
        <f t="shared" ca="1" si="431"/>
        <v>#N/A</v>
      </c>
      <c r="AD935" s="376" t="e">
        <f t="shared" ca="1" si="432"/>
        <v>#N/A</v>
      </c>
      <c r="AE935" s="377" t="e">
        <f t="shared" ca="1" si="411"/>
        <v>#N/A</v>
      </c>
      <c r="AF935" s="344"/>
      <c r="AG935" s="359">
        <f t="shared" ca="1" si="433"/>
        <v>2.2109078577287313</v>
      </c>
      <c r="AH935" s="357">
        <f t="shared" ca="1" si="434"/>
        <v>-7.5261501851727814</v>
      </c>
    </row>
    <row r="936" spans="1:34" x14ac:dyDescent="0.25">
      <c r="A936" s="402">
        <f t="shared" ca="1" si="412"/>
        <v>1E-4</v>
      </c>
      <c r="B936" s="357">
        <f t="shared" ca="1" si="413"/>
        <v>47.400800000000366</v>
      </c>
      <c r="C936" s="342"/>
      <c r="D936" s="359">
        <f t="shared" ca="1" si="414"/>
        <v>-0.91607840046003342</v>
      </c>
      <c r="E936" s="360">
        <f t="shared" ca="1" si="415"/>
        <v>-2.3397775545486885</v>
      </c>
      <c r="F936" s="357">
        <f t="shared" ca="1" si="416"/>
        <v>2.5127193716289238</v>
      </c>
      <c r="G936" s="359">
        <f t="shared" ca="1" si="417"/>
        <v>20.576053031119066</v>
      </c>
      <c r="H936" s="360">
        <f t="shared" ca="1" si="418"/>
        <v>-167.78977845955535</v>
      </c>
      <c r="I936" s="357">
        <f t="shared" ca="1" si="419"/>
        <v>169.04669092841212</v>
      </c>
      <c r="J936" s="359">
        <f t="shared" ca="1" si="420"/>
        <v>1741.4112148507097</v>
      </c>
      <c r="K936" s="360">
        <f t="shared" ca="1" si="421"/>
        <v>-15.819138890513399</v>
      </c>
      <c r="L936" s="357">
        <f t="shared" ca="1" si="406"/>
        <v>1741.4830646213766</v>
      </c>
      <c r="M936" s="359">
        <f t="shared" ca="1" si="422"/>
        <v>-1.4487755913887619</v>
      </c>
      <c r="N936" s="357">
        <f t="shared" ca="1" si="423"/>
        <v>-83.008726848145955</v>
      </c>
      <c r="O936" s="343"/>
      <c r="P936" s="363">
        <f t="shared" ca="1" si="424"/>
        <v>23</v>
      </c>
      <c r="Q936" s="357">
        <f t="shared" ca="1" si="425"/>
        <v>0</v>
      </c>
      <c r="R936" s="359">
        <f t="shared" ca="1" si="426"/>
        <v>0</v>
      </c>
      <c r="S936" s="360">
        <f t="shared" ca="1" si="427"/>
        <v>10.637999999999975</v>
      </c>
      <c r="T936" s="357">
        <f t="shared" ca="1" si="407"/>
        <v>104.35877999999975</v>
      </c>
      <c r="U936" s="364">
        <f t="shared" ca="1" si="408"/>
        <v>0</v>
      </c>
      <c r="V936" s="359">
        <f t="shared" ca="1" si="409"/>
        <v>1.2269393784789642</v>
      </c>
      <c r="W936" s="357">
        <f t="shared" ca="1" si="410"/>
        <v>80.063873194310773</v>
      </c>
      <c r="X936" s="343"/>
      <c r="Y936" s="367" t="str">
        <f t="shared" ca="1" si="428"/>
        <v/>
      </c>
      <c r="Z936" s="368" t="str">
        <f t="shared" ca="1" si="429"/>
        <v/>
      </c>
      <c r="AA936" s="369" t="str">
        <f t="shared" ca="1" si="430"/>
        <v/>
      </c>
      <c r="AB936" s="344"/>
      <c r="AC936" s="363" t="e">
        <f t="shared" ca="1" si="431"/>
        <v>#N/A</v>
      </c>
      <c r="AD936" s="376" t="e">
        <f t="shared" ca="1" si="432"/>
        <v>#N/A</v>
      </c>
      <c r="AE936" s="377" t="e">
        <f t="shared" ca="1" si="411"/>
        <v>#N/A</v>
      </c>
      <c r="AF936" s="344"/>
      <c r="AG936" s="359">
        <f t="shared" ca="1" si="433"/>
        <v>2.2108763865349905</v>
      </c>
      <c r="AH936" s="357">
        <f t="shared" ca="1" si="434"/>
        <v>-7.5261824998012097</v>
      </c>
    </row>
    <row r="937" spans="1:34" x14ac:dyDescent="0.25">
      <c r="A937" s="402">
        <f t="shared" ca="1" si="412"/>
        <v>1E-4</v>
      </c>
      <c r="B937" s="357">
        <f t="shared" ca="1" si="413"/>
        <v>47.40090000000037</v>
      </c>
      <c r="C937" s="342"/>
      <c r="D937" s="359">
        <f t="shared" ca="1" si="414"/>
        <v>-0.91607705712382059</v>
      </c>
      <c r="E937" s="360">
        <f t="shared" ca="1" si="415"/>
        <v>-2.3397448332671029</v>
      </c>
      <c r="F937" s="357">
        <f t="shared" ca="1" si="416"/>
        <v>2.512688412714307</v>
      </c>
      <c r="G937" s="359">
        <f t="shared" ca="1" si="417"/>
        <v>20.575961423413354</v>
      </c>
      <c r="H937" s="360">
        <f t="shared" ca="1" si="418"/>
        <v>-167.79001243403869</v>
      </c>
      <c r="I937" s="357">
        <f t="shared" ca="1" si="419"/>
        <v>169.04691201294582</v>
      </c>
      <c r="J937" s="359">
        <f t="shared" ca="1" si="420"/>
        <v>1741.4112148507097</v>
      </c>
      <c r="K937" s="360">
        <f t="shared" ca="1" si="421"/>
        <v>-15.835917880058078</v>
      </c>
      <c r="L937" s="357">
        <f t="shared" ca="1" si="406"/>
        <v>1741.4832171177902</v>
      </c>
      <c r="M937" s="359">
        <f t="shared" ca="1" si="422"/>
        <v>-1.4487762977342284</v>
      </c>
      <c r="N937" s="357">
        <f t="shared" ca="1" si="423"/>
        <v>-83.008767318760064</v>
      </c>
      <c r="O937" s="343"/>
      <c r="P937" s="363">
        <f t="shared" ca="1" si="424"/>
        <v>23</v>
      </c>
      <c r="Q937" s="357">
        <f t="shared" ca="1" si="425"/>
        <v>0</v>
      </c>
      <c r="R937" s="359">
        <f t="shared" ca="1" si="426"/>
        <v>0</v>
      </c>
      <c r="S937" s="360">
        <f t="shared" ca="1" si="427"/>
        <v>10.637999999999975</v>
      </c>
      <c r="T937" s="357">
        <f t="shared" ca="1" si="407"/>
        <v>104.35877999999975</v>
      </c>
      <c r="U937" s="364">
        <f t="shared" ca="1" si="408"/>
        <v>0</v>
      </c>
      <c r="V937" s="359">
        <f t="shared" ca="1" si="409"/>
        <v>1.2269414371622807</v>
      </c>
      <c r="W937" s="357">
        <f t="shared" ca="1" si="410"/>
        <v>80.064216954144968</v>
      </c>
      <c r="X937" s="343"/>
      <c r="Y937" s="367" t="str">
        <f t="shared" ca="1" si="428"/>
        <v/>
      </c>
      <c r="Z937" s="368" t="str">
        <f t="shared" ca="1" si="429"/>
        <v/>
      </c>
      <c r="AA937" s="369" t="str">
        <f t="shared" ca="1" si="430"/>
        <v/>
      </c>
      <c r="AB937" s="344"/>
      <c r="AC937" s="363" t="e">
        <f t="shared" ca="1" si="431"/>
        <v>#N/A</v>
      </c>
      <c r="AD937" s="376" t="e">
        <f t="shared" ca="1" si="432"/>
        <v>#N/A</v>
      </c>
      <c r="AE937" s="377" t="e">
        <f t="shared" ca="1" si="411"/>
        <v>#N/A</v>
      </c>
      <c r="AF937" s="344"/>
      <c r="AG937" s="359">
        <f t="shared" ca="1" si="433"/>
        <v>2.2108449154800374</v>
      </c>
      <c r="AH937" s="357">
        <f t="shared" ca="1" si="434"/>
        <v>-7.5262148142800305</v>
      </c>
    </row>
    <row r="938" spans="1:34" x14ac:dyDescent="0.25">
      <c r="A938" s="402">
        <f t="shared" ca="1" si="412"/>
        <v>1E-4</v>
      </c>
      <c r="B938" s="357">
        <f t="shared" ca="1" si="413"/>
        <v>47.401000000000373</v>
      </c>
      <c r="C938" s="342"/>
      <c r="D938" s="359">
        <f t="shared" ca="1" si="414"/>
        <v>-0.91607571376092312</v>
      </c>
      <c r="E938" s="360">
        <f t="shared" ca="1" si="415"/>
        <v>-2.3397121121367537</v>
      </c>
      <c r="F938" s="357">
        <f t="shared" ca="1" si="416"/>
        <v>2.5126574539761712</v>
      </c>
      <c r="G938" s="359">
        <f t="shared" ca="1" si="417"/>
        <v>20.575869815841976</v>
      </c>
      <c r="H938" s="360">
        <f t="shared" ca="1" si="418"/>
        <v>-167.79024640524989</v>
      </c>
      <c r="I938" s="357">
        <f t="shared" ca="1" si="419"/>
        <v>169.04713309433245</v>
      </c>
      <c r="J938" s="359">
        <f t="shared" ca="1" si="420"/>
        <v>1741.4112148507097</v>
      </c>
      <c r="K938" s="360">
        <f t="shared" ca="1" si="421"/>
        <v>-15.852696893000042</v>
      </c>
      <c r="L938" s="357">
        <f t="shared" ca="1" si="406"/>
        <v>1741.4833697760671</v>
      </c>
      <c r="M938" s="359">
        <f t="shared" ca="1" si="422"/>
        <v>-1.4487770040747028</v>
      </c>
      <c r="N938" s="357">
        <f t="shared" ca="1" si="423"/>
        <v>-83.008807789088138</v>
      </c>
      <c r="O938" s="343"/>
      <c r="P938" s="363">
        <f t="shared" ca="1" si="424"/>
        <v>23</v>
      </c>
      <c r="Q938" s="357">
        <f t="shared" ca="1" si="425"/>
        <v>0</v>
      </c>
      <c r="R938" s="359">
        <f t="shared" ca="1" si="426"/>
        <v>0</v>
      </c>
      <c r="S938" s="360">
        <f t="shared" ca="1" si="427"/>
        <v>10.637999999999975</v>
      </c>
      <c r="T938" s="357">
        <f t="shared" ca="1" si="407"/>
        <v>104.35877999999975</v>
      </c>
      <c r="U938" s="364">
        <f t="shared" ca="1" si="408"/>
        <v>0</v>
      </c>
      <c r="V938" s="359">
        <f t="shared" ca="1" si="409"/>
        <v>1.2269434958519254</v>
      </c>
      <c r="W938" s="357">
        <f t="shared" ca="1" si="410"/>
        <v>80.064560712387717</v>
      </c>
      <c r="X938" s="343"/>
      <c r="Y938" s="367" t="str">
        <f t="shared" ca="1" si="428"/>
        <v/>
      </c>
      <c r="Z938" s="368" t="str">
        <f t="shared" ca="1" si="429"/>
        <v/>
      </c>
      <c r="AA938" s="369" t="str">
        <f t="shared" ca="1" si="430"/>
        <v/>
      </c>
      <c r="AB938" s="344"/>
      <c r="AC938" s="363" t="e">
        <f t="shared" ca="1" si="431"/>
        <v>#N/A</v>
      </c>
      <c r="AD938" s="376" t="e">
        <f t="shared" ca="1" si="432"/>
        <v>#N/A</v>
      </c>
      <c r="AE938" s="377" t="e">
        <f t="shared" ca="1" si="411"/>
        <v>#N/A</v>
      </c>
      <c r="AF938" s="344"/>
      <c r="AG938" s="359">
        <f t="shared" ca="1" si="433"/>
        <v>2.2108134445638701</v>
      </c>
      <c r="AH938" s="357">
        <f t="shared" ca="1" si="434"/>
        <v>-7.5262471286092456</v>
      </c>
    </row>
    <row r="939" spans="1:34" x14ac:dyDescent="0.25">
      <c r="A939" s="402">
        <f t="shared" ca="1" si="412"/>
        <v>1E-4</v>
      </c>
      <c r="B939" s="357">
        <f t="shared" ca="1" si="413"/>
        <v>47.401100000000376</v>
      </c>
      <c r="C939" s="342"/>
      <c r="D939" s="359">
        <f t="shared" ca="1" si="414"/>
        <v>-0.91607437037134276</v>
      </c>
      <c r="E939" s="360">
        <f t="shared" ca="1" si="415"/>
        <v>-2.3396793911576355</v>
      </c>
      <c r="F939" s="357">
        <f t="shared" ca="1" si="416"/>
        <v>2.5126264954145126</v>
      </c>
      <c r="G939" s="359">
        <f t="shared" ca="1" si="417"/>
        <v>20.575778208404937</v>
      </c>
      <c r="H939" s="360">
        <f t="shared" ca="1" si="418"/>
        <v>-167.79048037318901</v>
      </c>
      <c r="I939" s="357">
        <f t="shared" ca="1" si="419"/>
        <v>169.047354172572</v>
      </c>
      <c r="J939" s="359">
        <f t="shared" ca="1" si="420"/>
        <v>1741.4112148507097</v>
      </c>
      <c r="K939" s="360">
        <f t="shared" ca="1" si="421"/>
        <v>-15.869475929338964</v>
      </c>
      <c r="L939" s="357">
        <f t="shared" ca="1" si="406"/>
        <v>1741.4835225962076</v>
      </c>
      <c r="M939" s="359">
        <f t="shared" ca="1" si="422"/>
        <v>-1.4487777104101847</v>
      </c>
      <c r="N939" s="357">
        <f t="shared" ca="1" si="423"/>
        <v>-83.008848259130176</v>
      </c>
      <c r="O939" s="343"/>
      <c r="P939" s="363">
        <f t="shared" ca="1" si="424"/>
        <v>23</v>
      </c>
      <c r="Q939" s="357">
        <f t="shared" ca="1" si="425"/>
        <v>0</v>
      </c>
      <c r="R939" s="359">
        <f t="shared" ca="1" si="426"/>
        <v>0</v>
      </c>
      <c r="S939" s="360">
        <f t="shared" ca="1" si="427"/>
        <v>10.637999999999975</v>
      </c>
      <c r="T939" s="357">
        <f t="shared" ca="1" si="407"/>
        <v>104.35877999999975</v>
      </c>
      <c r="U939" s="364">
        <f t="shared" ca="1" si="408"/>
        <v>0</v>
      </c>
      <c r="V939" s="359">
        <f t="shared" ca="1" si="409"/>
        <v>1.2269455545478976</v>
      </c>
      <c r="W939" s="357">
        <f t="shared" ca="1" si="410"/>
        <v>80.06490446903895</v>
      </c>
      <c r="X939" s="343"/>
      <c r="Y939" s="367" t="str">
        <f t="shared" ca="1" si="428"/>
        <v/>
      </c>
      <c r="Z939" s="368" t="str">
        <f t="shared" ca="1" si="429"/>
        <v/>
      </c>
      <c r="AA939" s="369" t="str">
        <f t="shared" ca="1" si="430"/>
        <v/>
      </c>
      <c r="AB939" s="344"/>
      <c r="AC939" s="363" t="e">
        <f t="shared" ca="1" si="431"/>
        <v>#N/A</v>
      </c>
      <c r="AD939" s="376" t="e">
        <f t="shared" ca="1" si="432"/>
        <v>#N/A</v>
      </c>
      <c r="AE939" s="377" t="e">
        <f t="shared" ca="1" si="411"/>
        <v>#N/A</v>
      </c>
      <c r="AF939" s="344"/>
      <c r="AG939" s="359">
        <f t="shared" ca="1" si="433"/>
        <v>2.2107819737864824</v>
      </c>
      <c r="AH939" s="357">
        <f t="shared" ca="1" si="434"/>
        <v>-7.5262794427888613</v>
      </c>
    </row>
    <row r="940" spans="1:34" x14ac:dyDescent="0.25">
      <c r="A940" s="402">
        <f t="shared" ca="1" si="412"/>
        <v>1E-4</v>
      </c>
      <c r="B940" s="357">
        <f t="shared" ca="1" si="413"/>
        <v>47.401200000000379</v>
      </c>
      <c r="C940" s="342"/>
      <c r="D940" s="359">
        <f t="shared" ca="1" si="414"/>
        <v>-0.91607302695508086</v>
      </c>
      <c r="E940" s="360">
        <f t="shared" ca="1" si="415"/>
        <v>-2.3396466703297571</v>
      </c>
      <c r="F940" s="357">
        <f t="shared" ca="1" si="416"/>
        <v>2.5125955370293411</v>
      </c>
      <c r="G940" s="359">
        <f t="shared" ca="1" si="417"/>
        <v>20.575686601102241</v>
      </c>
      <c r="H940" s="360">
        <f t="shared" ca="1" si="418"/>
        <v>-167.79071433785606</v>
      </c>
      <c r="I940" s="357">
        <f t="shared" ca="1" si="419"/>
        <v>169.0475752476645</v>
      </c>
      <c r="J940" s="359">
        <f t="shared" ca="1" si="420"/>
        <v>1741.4112148507097</v>
      </c>
      <c r="K940" s="360">
        <f t="shared" ca="1" si="421"/>
        <v>-15.886254989074517</v>
      </c>
      <c r="L940" s="357">
        <f t="shared" ca="1" si="406"/>
        <v>1741.483675578213</v>
      </c>
      <c r="M940" s="359">
        <f t="shared" ca="1" si="422"/>
        <v>-1.4487784167406745</v>
      </c>
      <c r="N940" s="357">
        <f t="shared" ca="1" si="423"/>
        <v>-83.008888728886177</v>
      </c>
      <c r="O940" s="343"/>
      <c r="P940" s="363">
        <f t="shared" ca="1" si="424"/>
        <v>23</v>
      </c>
      <c r="Q940" s="357">
        <f t="shared" ca="1" si="425"/>
        <v>0</v>
      </c>
      <c r="R940" s="359">
        <f t="shared" ca="1" si="426"/>
        <v>0</v>
      </c>
      <c r="S940" s="360">
        <f t="shared" ca="1" si="427"/>
        <v>10.637999999999975</v>
      </c>
      <c r="T940" s="357">
        <f t="shared" ca="1" si="407"/>
        <v>104.35877999999975</v>
      </c>
      <c r="U940" s="364">
        <f t="shared" ca="1" si="408"/>
        <v>0</v>
      </c>
      <c r="V940" s="359">
        <f t="shared" ca="1" si="409"/>
        <v>1.2269476132501971</v>
      </c>
      <c r="W940" s="357">
        <f t="shared" ca="1" si="410"/>
        <v>80.065248224098653</v>
      </c>
      <c r="X940" s="343"/>
      <c r="Y940" s="367" t="str">
        <f t="shared" ca="1" si="428"/>
        <v/>
      </c>
      <c r="Z940" s="368" t="str">
        <f t="shared" ca="1" si="429"/>
        <v/>
      </c>
      <c r="AA940" s="369" t="str">
        <f t="shared" ca="1" si="430"/>
        <v/>
      </c>
      <c r="AB940" s="344"/>
      <c r="AC940" s="363" t="e">
        <f t="shared" ca="1" si="431"/>
        <v>#N/A</v>
      </c>
      <c r="AD940" s="376" t="e">
        <f t="shared" ca="1" si="432"/>
        <v>#N/A</v>
      </c>
      <c r="AE940" s="377" t="e">
        <f t="shared" ca="1" si="411"/>
        <v>#N/A</v>
      </c>
      <c r="AF940" s="344"/>
      <c r="AG940" s="359">
        <f t="shared" ca="1" si="433"/>
        <v>2.2107505031478842</v>
      </c>
      <c r="AH940" s="357">
        <f t="shared" ca="1" si="434"/>
        <v>-7.5263117568188695</v>
      </c>
    </row>
    <row r="941" spans="1:34" x14ac:dyDescent="0.25">
      <c r="A941" s="402">
        <f t="shared" ca="1" si="412"/>
        <v>1E-4</v>
      </c>
      <c r="B941" s="357">
        <f t="shared" ca="1" si="413"/>
        <v>47.401300000000383</v>
      </c>
      <c r="C941" s="342"/>
      <c r="D941" s="359">
        <f t="shared" ca="1" si="414"/>
        <v>-0.91607168351213486</v>
      </c>
      <c r="E941" s="360">
        <f t="shared" ca="1" si="415"/>
        <v>-2.3396139496531179</v>
      </c>
      <c r="F941" s="357">
        <f t="shared" ca="1" si="416"/>
        <v>2.5125645788206556</v>
      </c>
      <c r="G941" s="359">
        <f t="shared" ca="1" si="417"/>
        <v>20.57559499393389</v>
      </c>
      <c r="H941" s="360">
        <f t="shared" ca="1" si="418"/>
        <v>-167.79094829925103</v>
      </c>
      <c r="I941" s="357">
        <f t="shared" ca="1" si="419"/>
        <v>169.04779631960994</v>
      </c>
      <c r="J941" s="359">
        <f t="shared" ca="1" si="420"/>
        <v>1741.4112148507097</v>
      </c>
      <c r="K941" s="360">
        <f t="shared" ca="1" si="421"/>
        <v>-15.903034072206372</v>
      </c>
      <c r="L941" s="357">
        <f t="shared" ca="1" si="406"/>
        <v>1741.4838287220832</v>
      </c>
      <c r="M941" s="359">
        <f t="shared" ca="1" si="422"/>
        <v>-1.4487791230661722</v>
      </c>
      <c r="N941" s="357">
        <f t="shared" ca="1" si="423"/>
        <v>-83.008929198356157</v>
      </c>
      <c r="O941" s="343"/>
      <c r="P941" s="363">
        <f t="shared" ca="1" si="424"/>
        <v>23</v>
      </c>
      <c r="Q941" s="357">
        <f t="shared" ca="1" si="425"/>
        <v>0</v>
      </c>
      <c r="R941" s="359">
        <f t="shared" ca="1" si="426"/>
        <v>0</v>
      </c>
      <c r="S941" s="360">
        <f t="shared" ca="1" si="427"/>
        <v>10.637999999999975</v>
      </c>
      <c r="T941" s="357">
        <f t="shared" ca="1" si="407"/>
        <v>104.35877999999975</v>
      </c>
      <c r="U941" s="364">
        <f t="shared" ca="1" si="408"/>
        <v>0</v>
      </c>
      <c r="V941" s="359">
        <f t="shared" ca="1" si="409"/>
        <v>1.2269496719588249</v>
      </c>
      <c r="W941" s="357">
        <f t="shared" ca="1" si="410"/>
        <v>80.065591977566882</v>
      </c>
      <c r="X941" s="343"/>
      <c r="Y941" s="367" t="str">
        <f t="shared" ca="1" si="428"/>
        <v/>
      </c>
      <c r="Z941" s="368" t="str">
        <f t="shared" ca="1" si="429"/>
        <v/>
      </c>
      <c r="AA941" s="369" t="str">
        <f t="shared" ca="1" si="430"/>
        <v/>
      </c>
      <c r="AB941" s="344"/>
      <c r="AC941" s="363" t="e">
        <f t="shared" ca="1" si="431"/>
        <v>#N/A</v>
      </c>
      <c r="AD941" s="376" t="e">
        <f t="shared" ca="1" si="432"/>
        <v>#N/A</v>
      </c>
      <c r="AE941" s="377" t="e">
        <f t="shared" ca="1" si="411"/>
        <v>#N/A</v>
      </c>
      <c r="AF941" s="344"/>
      <c r="AG941" s="359">
        <f t="shared" ca="1" si="433"/>
        <v>2.2107190326480737</v>
      </c>
      <c r="AH941" s="357">
        <f t="shared" ca="1" si="434"/>
        <v>-7.5263440706992704</v>
      </c>
    </row>
    <row r="942" spans="1:34" x14ac:dyDescent="0.25">
      <c r="A942" s="402">
        <f t="shared" ca="1" si="412"/>
        <v>1E-4</v>
      </c>
      <c r="B942" s="357">
        <f t="shared" ca="1" si="413"/>
        <v>47.401400000000386</v>
      </c>
      <c r="C942" s="342"/>
      <c r="D942" s="359">
        <f t="shared" ca="1" si="414"/>
        <v>-0.91607034004250787</v>
      </c>
      <c r="E942" s="360">
        <f t="shared" ca="1" si="415"/>
        <v>-2.3395812291277123</v>
      </c>
      <c r="F942" s="357">
        <f t="shared" ca="1" si="416"/>
        <v>2.512533620788453</v>
      </c>
      <c r="G942" s="359">
        <f t="shared" ca="1" si="417"/>
        <v>20.575503386899886</v>
      </c>
      <c r="H942" s="360">
        <f t="shared" ca="1" si="418"/>
        <v>-167.79118225737395</v>
      </c>
      <c r="I942" s="357">
        <f t="shared" ca="1" si="419"/>
        <v>169.04801738840834</v>
      </c>
      <c r="J942" s="359">
        <f t="shared" ca="1" si="420"/>
        <v>1741.4112148507097</v>
      </c>
      <c r="K942" s="360">
        <f t="shared" ca="1" si="421"/>
        <v>-15.919813178734204</v>
      </c>
      <c r="L942" s="357">
        <f t="shared" ca="1" si="406"/>
        <v>1741.4839820278194</v>
      </c>
      <c r="M942" s="359">
        <f t="shared" ca="1" si="422"/>
        <v>-1.4487798293866778</v>
      </c>
      <c r="N942" s="357">
        <f t="shared" ca="1" si="423"/>
        <v>-83.008969667540114</v>
      </c>
      <c r="O942" s="343"/>
      <c r="P942" s="363">
        <f t="shared" ca="1" si="424"/>
        <v>23</v>
      </c>
      <c r="Q942" s="357">
        <f t="shared" ca="1" si="425"/>
        <v>0</v>
      </c>
      <c r="R942" s="359">
        <f t="shared" ca="1" si="426"/>
        <v>0</v>
      </c>
      <c r="S942" s="360">
        <f t="shared" ca="1" si="427"/>
        <v>10.637999999999975</v>
      </c>
      <c r="T942" s="357">
        <f t="shared" ca="1" si="407"/>
        <v>104.35877999999975</v>
      </c>
      <c r="U942" s="364">
        <f t="shared" ca="1" si="408"/>
        <v>0</v>
      </c>
      <c r="V942" s="359">
        <f t="shared" ca="1" si="409"/>
        <v>1.22695173067378</v>
      </c>
      <c r="W942" s="357">
        <f t="shared" ca="1" si="410"/>
        <v>80.065935729443538</v>
      </c>
      <c r="X942" s="343"/>
      <c r="Y942" s="367" t="str">
        <f t="shared" ca="1" si="428"/>
        <v/>
      </c>
      <c r="Z942" s="368" t="str">
        <f t="shared" ca="1" si="429"/>
        <v/>
      </c>
      <c r="AA942" s="369" t="str">
        <f t="shared" ca="1" si="430"/>
        <v/>
      </c>
      <c r="AB942" s="344"/>
      <c r="AC942" s="363" t="e">
        <f t="shared" ca="1" si="431"/>
        <v>#N/A</v>
      </c>
      <c r="AD942" s="376" t="e">
        <f t="shared" ca="1" si="432"/>
        <v>#N/A</v>
      </c>
      <c r="AE942" s="377" t="e">
        <f t="shared" ca="1" si="411"/>
        <v>#N/A</v>
      </c>
      <c r="AF942" s="344"/>
      <c r="AG942" s="359">
        <f t="shared" ca="1" si="433"/>
        <v>2.2106875622870499</v>
      </c>
      <c r="AH942" s="357">
        <f t="shared" ca="1" si="434"/>
        <v>-7.5263763844300682</v>
      </c>
    </row>
    <row r="943" spans="1:34" x14ac:dyDescent="0.25">
      <c r="A943" s="402">
        <f t="shared" ca="1" si="412"/>
        <v>1E-4</v>
      </c>
      <c r="B943" s="357">
        <f t="shared" ca="1" si="413"/>
        <v>47.401500000000389</v>
      </c>
      <c r="C943" s="342"/>
      <c r="D943" s="359">
        <f t="shared" ca="1" si="414"/>
        <v>-0.91606899654619789</v>
      </c>
      <c r="E943" s="360">
        <f t="shared" ca="1" si="415"/>
        <v>-2.339548508753551</v>
      </c>
      <c r="F943" s="357">
        <f t="shared" ca="1" si="416"/>
        <v>2.5125026629327425</v>
      </c>
      <c r="G943" s="359">
        <f t="shared" ca="1" si="417"/>
        <v>20.575411780000231</v>
      </c>
      <c r="H943" s="360">
        <f t="shared" ca="1" si="418"/>
        <v>-167.79141621222482</v>
      </c>
      <c r="I943" s="357">
        <f t="shared" ca="1" si="419"/>
        <v>169.04823845405971</v>
      </c>
      <c r="J943" s="359">
        <f t="shared" ca="1" si="420"/>
        <v>1741.4112148507097</v>
      </c>
      <c r="K943" s="360">
        <f t="shared" ca="1" si="421"/>
        <v>-15.936592308657684</v>
      </c>
      <c r="L943" s="357">
        <f t="shared" ca="1" si="406"/>
        <v>1741.4841354954219</v>
      </c>
      <c r="M943" s="359">
        <f t="shared" ca="1" si="422"/>
        <v>-1.4487805357021915</v>
      </c>
      <c r="N943" s="357">
        <f t="shared" ca="1" si="423"/>
        <v>-83.00901013643805</v>
      </c>
      <c r="O943" s="343"/>
      <c r="P943" s="363">
        <f t="shared" ca="1" si="424"/>
        <v>23</v>
      </c>
      <c r="Q943" s="357">
        <f t="shared" ca="1" si="425"/>
        <v>0</v>
      </c>
      <c r="R943" s="359">
        <f t="shared" ca="1" si="426"/>
        <v>0</v>
      </c>
      <c r="S943" s="360">
        <f t="shared" ca="1" si="427"/>
        <v>10.637999999999975</v>
      </c>
      <c r="T943" s="357">
        <f t="shared" ca="1" si="407"/>
        <v>104.35877999999975</v>
      </c>
      <c r="U943" s="364">
        <f t="shared" ca="1" si="408"/>
        <v>0</v>
      </c>
      <c r="V943" s="359">
        <f t="shared" ca="1" si="409"/>
        <v>1.2269537893950631</v>
      </c>
      <c r="W943" s="357">
        <f t="shared" ca="1" si="410"/>
        <v>80.066279479728678</v>
      </c>
      <c r="X943" s="343"/>
      <c r="Y943" s="367" t="str">
        <f t="shared" ca="1" si="428"/>
        <v/>
      </c>
      <c r="Z943" s="368" t="str">
        <f t="shared" ca="1" si="429"/>
        <v/>
      </c>
      <c r="AA943" s="369" t="str">
        <f t="shared" ca="1" si="430"/>
        <v/>
      </c>
      <c r="AB943" s="344"/>
      <c r="AC943" s="363" t="e">
        <f t="shared" ca="1" si="431"/>
        <v>#N/A</v>
      </c>
      <c r="AD943" s="376" t="e">
        <f t="shared" ca="1" si="432"/>
        <v>#N/A</v>
      </c>
      <c r="AE943" s="377" t="e">
        <f t="shared" ca="1" si="411"/>
        <v>#N/A</v>
      </c>
      <c r="AF943" s="344"/>
      <c r="AG943" s="359">
        <f t="shared" ca="1" si="433"/>
        <v>2.2106560920648164</v>
      </c>
      <c r="AH943" s="357">
        <f t="shared" ca="1" si="434"/>
        <v>-7.5264086980112541</v>
      </c>
    </row>
    <row r="944" spans="1:34" x14ac:dyDescent="0.25">
      <c r="A944" s="402">
        <f t="shared" ca="1" si="412"/>
        <v>1E-4</v>
      </c>
      <c r="B944" s="357">
        <f t="shared" ca="1" si="413"/>
        <v>47.401600000000393</v>
      </c>
      <c r="C944" s="342"/>
      <c r="D944" s="359">
        <f t="shared" ca="1" si="414"/>
        <v>-0.91606765302320647</v>
      </c>
      <c r="E944" s="360">
        <f t="shared" ca="1" si="415"/>
        <v>-2.3395157885306279</v>
      </c>
      <c r="F944" s="357">
        <f t="shared" ca="1" si="416"/>
        <v>2.5124717052535201</v>
      </c>
      <c r="G944" s="359">
        <f t="shared" ca="1" si="417"/>
        <v>20.575320173234928</v>
      </c>
      <c r="H944" s="360">
        <f t="shared" ca="1" si="418"/>
        <v>-167.79165016380367</v>
      </c>
      <c r="I944" s="357">
        <f t="shared" ca="1" si="419"/>
        <v>169.04845951656407</v>
      </c>
      <c r="J944" s="359">
        <f t="shared" ca="1" si="420"/>
        <v>1741.4112148507097</v>
      </c>
      <c r="K944" s="360">
        <f t="shared" ca="1" si="421"/>
        <v>-15.953371461976484</v>
      </c>
      <c r="L944" s="357">
        <f t="shared" ca="1" si="406"/>
        <v>1741.4842891248913</v>
      </c>
      <c r="M944" s="359">
        <f t="shared" ca="1" si="422"/>
        <v>-1.4487812420127131</v>
      </c>
      <c r="N944" s="357">
        <f t="shared" ca="1" si="423"/>
        <v>-83.009050605049964</v>
      </c>
      <c r="O944" s="343"/>
      <c r="P944" s="363">
        <f t="shared" ca="1" si="424"/>
        <v>23</v>
      </c>
      <c r="Q944" s="357">
        <f t="shared" ca="1" si="425"/>
        <v>0</v>
      </c>
      <c r="R944" s="359">
        <f t="shared" ca="1" si="426"/>
        <v>0</v>
      </c>
      <c r="S944" s="360">
        <f t="shared" ca="1" si="427"/>
        <v>10.637999999999975</v>
      </c>
      <c r="T944" s="357">
        <f t="shared" ca="1" si="407"/>
        <v>104.35877999999975</v>
      </c>
      <c r="U944" s="364">
        <f t="shared" ca="1" si="408"/>
        <v>0</v>
      </c>
      <c r="V944" s="359">
        <f t="shared" ca="1" si="409"/>
        <v>1.2269558481226732</v>
      </c>
      <c r="W944" s="357">
        <f t="shared" ca="1" si="410"/>
        <v>80.066623228422216</v>
      </c>
      <c r="X944" s="343"/>
      <c r="Y944" s="367" t="str">
        <f t="shared" ca="1" si="428"/>
        <v/>
      </c>
      <c r="Z944" s="368" t="str">
        <f t="shared" ca="1" si="429"/>
        <v/>
      </c>
      <c r="AA944" s="369" t="str">
        <f t="shared" ca="1" si="430"/>
        <v/>
      </c>
      <c r="AB944" s="344"/>
      <c r="AC944" s="363" t="e">
        <f t="shared" ca="1" si="431"/>
        <v>#N/A</v>
      </c>
      <c r="AD944" s="376" t="e">
        <f t="shared" ca="1" si="432"/>
        <v>#N/A</v>
      </c>
      <c r="AE944" s="377" t="e">
        <f t="shared" ca="1" si="411"/>
        <v>#N/A</v>
      </c>
      <c r="AF944" s="344"/>
      <c r="AG944" s="359">
        <f t="shared" ca="1" si="433"/>
        <v>2.2106246219813732</v>
      </c>
      <c r="AH944" s="357">
        <f t="shared" ca="1" si="434"/>
        <v>-7.5264410114428335</v>
      </c>
    </row>
    <row r="945" spans="1:34" x14ac:dyDescent="0.25">
      <c r="A945" s="402">
        <f t="shared" ca="1" si="412"/>
        <v>1E-4</v>
      </c>
      <c r="B945" s="357">
        <f t="shared" ca="1" si="413"/>
        <v>47.401700000000396</v>
      </c>
      <c r="C945" s="342"/>
      <c r="D945" s="359">
        <f t="shared" ca="1" si="414"/>
        <v>-0.91606630947353329</v>
      </c>
      <c r="E945" s="360">
        <f t="shared" ca="1" si="415"/>
        <v>-2.3394830684589509</v>
      </c>
      <c r="F945" s="357">
        <f t="shared" ca="1" si="416"/>
        <v>2.512440747750794</v>
      </c>
      <c r="G945" s="359">
        <f t="shared" ca="1" si="417"/>
        <v>20.575228566603982</v>
      </c>
      <c r="H945" s="360">
        <f t="shared" ca="1" si="418"/>
        <v>-167.79188411211052</v>
      </c>
      <c r="I945" s="357">
        <f t="shared" ca="1" si="419"/>
        <v>169.04868057592145</v>
      </c>
      <c r="J945" s="359">
        <f t="shared" ca="1" si="420"/>
        <v>1741.4112148507097</v>
      </c>
      <c r="K945" s="360">
        <f t="shared" ca="1" si="421"/>
        <v>-15.97015063869028</v>
      </c>
      <c r="L945" s="357">
        <f t="shared" ca="1" si="406"/>
        <v>1741.4844429162285</v>
      </c>
      <c r="M945" s="359">
        <f t="shared" ca="1" si="422"/>
        <v>-1.4487819483182429</v>
      </c>
      <c r="N945" s="357">
        <f t="shared" ca="1" si="423"/>
        <v>-83.00909107337587</v>
      </c>
      <c r="O945" s="343"/>
      <c r="P945" s="363">
        <f t="shared" ca="1" si="424"/>
        <v>23</v>
      </c>
      <c r="Q945" s="357">
        <f t="shared" ca="1" si="425"/>
        <v>0</v>
      </c>
      <c r="R945" s="359">
        <f t="shared" ca="1" si="426"/>
        <v>0</v>
      </c>
      <c r="S945" s="360">
        <f t="shared" ca="1" si="427"/>
        <v>10.637999999999975</v>
      </c>
      <c r="T945" s="357">
        <f t="shared" ca="1" si="407"/>
        <v>104.35877999999975</v>
      </c>
      <c r="U945" s="364">
        <f t="shared" ca="1" si="408"/>
        <v>0</v>
      </c>
      <c r="V945" s="359">
        <f t="shared" ca="1" si="409"/>
        <v>1.2269579068566117</v>
      </c>
      <c r="W945" s="357">
        <f t="shared" ca="1" si="410"/>
        <v>80.066966975524267</v>
      </c>
      <c r="X945" s="343"/>
      <c r="Y945" s="367" t="str">
        <f t="shared" ca="1" si="428"/>
        <v/>
      </c>
      <c r="Z945" s="368" t="str">
        <f t="shared" ca="1" si="429"/>
        <v/>
      </c>
      <c r="AA945" s="369" t="str">
        <f t="shared" ca="1" si="430"/>
        <v/>
      </c>
      <c r="AB945" s="344"/>
      <c r="AC945" s="363" t="e">
        <f t="shared" ca="1" si="431"/>
        <v>#N/A</v>
      </c>
      <c r="AD945" s="376" t="e">
        <f t="shared" ca="1" si="432"/>
        <v>#N/A</v>
      </c>
      <c r="AE945" s="377" t="e">
        <f t="shared" ca="1" si="411"/>
        <v>#N/A</v>
      </c>
      <c r="AF945" s="344"/>
      <c r="AG945" s="359">
        <f t="shared" ca="1" si="433"/>
        <v>2.2105931520367283</v>
      </c>
      <c r="AH945" s="357">
        <f t="shared" ca="1" si="434"/>
        <v>-7.5264733247247984</v>
      </c>
    </row>
    <row r="946" spans="1:34" x14ac:dyDescent="0.25">
      <c r="A946" s="402">
        <f t="shared" ca="1" si="412"/>
        <v>1E-4</v>
      </c>
      <c r="B946" s="357">
        <f t="shared" ca="1" si="413"/>
        <v>47.401800000000399</v>
      </c>
      <c r="C946" s="342"/>
      <c r="D946" s="359">
        <f t="shared" ca="1" si="414"/>
        <v>-0.91606496589717867</v>
      </c>
      <c r="E946" s="360">
        <f t="shared" ca="1" si="415"/>
        <v>-2.3394503485385103</v>
      </c>
      <c r="F946" s="357">
        <f t="shared" ca="1" si="416"/>
        <v>2.512409790424555</v>
      </c>
      <c r="G946" s="359">
        <f t="shared" ca="1" si="417"/>
        <v>20.575136960107393</v>
      </c>
      <c r="H946" s="360">
        <f t="shared" ca="1" si="418"/>
        <v>-167.79211805714539</v>
      </c>
      <c r="I946" s="357">
        <f t="shared" ca="1" si="419"/>
        <v>169.04890163213187</v>
      </c>
      <c r="J946" s="359">
        <f t="shared" ca="1" si="420"/>
        <v>1741.4112148507097</v>
      </c>
      <c r="K946" s="360">
        <f t="shared" ca="1" si="421"/>
        <v>-15.986929838798742</v>
      </c>
      <c r="L946" s="357">
        <f t="shared" ca="1" si="406"/>
        <v>1741.484596869434</v>
      </c>
      <c r="M946" s="359">
        <f t="shared" ca="1" si="422"/>
        <v>-1.4487826546187808</v>
      </c>
      <c r="N946" s="357">
        <f t="shared" ca="1" si="423"/>
        <v>-83.009131541415755</v>
      </c>
      <c r="O946" s="343"/>
      <c r="P946" s="363">
        <f t="shared" ca="1" si="424"/>
        <v>23</v>
      </c>
      <c r="Q946" s="357">
        <f t="shared" ca="1" si="425"/>
        <v>0</v>
      </c>
      <c r="R946" s="359">
        <f t="shared" ca="1" si="426"/>
        <v>0</v>
      </c>
      <c r="S946" s="360">
        <f t="shared" ca="1" si="427"/>
        <v>10.637999999999975</v>
      </c>
      <c r="T946" s="357">
        <f t="shared" ca="1" si="407"/>
        <v>104.35877999999975</v>
      </c>
      <c r="U946" s="364">
        <f t="shared" ca="1" si="408"/>
        <v>0</v>
      </c>
      <c r="V946" s="359">
        <f t="shared" ca="1" si="409"/>
        <v>1.2269599655968773</v>
      </c>
      <c r="W946" s="357">
        <f t="shared" ca="1" si="410"/>
        <v>80.06731072103473</v>
      </c>
      <c r="X946" s="343"/>
      <c r="Y946" s="367" t="str">
        <f t="shared" ca="1" si="428"/>
        <v/>
      </c>
      <c r="Z946" s="368" t="str">
        <f t="shared" ca="1" si="429"/>
        <v/>
      </c>
      <c r="AA946" s="369" t="str">
        <f t="shared" ca="1" si="430"/>
        <v/>
      </c>
      <c r="AB946" s="344"/>
      <c r="AC946" s="363" t="e">
        <f t="shared" ca="1" si="431"/>
        <v>#N/A</v>
      </c>
      <c r="AD946" s="376" t="e">
        <f t="shared" ca="1" si="432"/>
        <v>#N/A</v>
      </c>
      <c r="AE946" s="377" t="e">
        <f t="shared" ca="1" si="411"/>
        <v>#N/A</v>
      </c>
      <c r="AF946" s="344"/>
      <c r="AG946" s="359">
        <f t="shared" ca="1" si="433"/>
        <v>2.2105616822308667</v>
      </c>
      <c r="AH946" s="357">
        <f t="shared" ca="1" si="434"/>
        <v>-7.5265056378571584</v>
      </c>
    </row>
    <row r="947" spans="1:34" x14ac:dyDescent="0.25">
      <c r="A947" s="402">
        <f t="shared" ca="1" si="412"/>
        <v>1E-4</v>
      </c>
      <c r="B947" s="357">
        <f t="shared" ca="1" si="413"/>
        <v>47.401900000000403</v>
      </c>
      <c r="C947" s="342"/>
      <c r="D947" s="359">
        <f t="shared" ca="1" si="414"/>
        <v>-0.91606362229414429</v>
      </c>
      <c r="E947" s="360">
        <f t="shared" ca="1" si="415"/>
        <v>-2.3394176287693149</v>
      </c>
      <c r="F947" s="357">
        <f t="shared" ca="1" si="416"/>
        <v>2.5123788332748136</v>
      </c>
      <c r="G947" s="359">
        <f t="shared" ca="1" si="417"/>
        <v>20.575045353745164</v>
      </c>
      <c r="H947" s="360">
        <f t="shared" ca="1" si="418"/>
        <v>-167.79235199890826</v>
      </c>
      <c r="I947" s="357">
        <f t="shared" ca="1" si="419"/>
        <v>169.04912268519527</v>
      </c>
      <c r="J947" s="359">
        <f t="shared" ca="1" si="420"/>
        <v>1741.4112148507097</v>
      </c>
      <c r="K947" s="360">
        <f t="shared" ca="1" si="421"/>
        <v>-16.003709062301546</v>
      </c>
      <c r="L947" s="357">
        <f t="shared" ca="1" si="406"/>
        <v>1741.4847509845085</v>
      </c>
      <c r="M947" s="359">
        <f t="shared" ca="1" si="422"/>
        <v>-1.4487833609143268</v>
      </c>
      <c r="N947" s="357">
        <f t="shared" ca="1" si="423"/>
        <v>-83.009172009169632</v>
      </c>
      <c r="O947" s="343"/>
      <c r="P947" s="363">
        <f t="shared" ca="1" si="424"/>
        <v>23</v>
      </c>
      <c r="Q947" s="357">
        <f t="shared" ca="1" si="425"/>
        <v>0</v>
      </c>
      <c r="R947" s="359">
        <f t="shared" ca="1" si="426"/>
        <v>0</v>
      </c>
      <c r="S947" s="360">
        <f t="shared" ca="1" si="427"/>
        <v>10.637999999999975</v>
      </c>
      <c r="T947" s="357">
        <f t="shared" ca="1" si="407"/>
        <v>104.35877999999975</v>
      </c>
      <c r="U947" s="364">
        <f t="shared" ca="1" si="408"/>
        <v>0</v>
      </c>
      <c r="V947" s="359">
        <f t="shared" ca="1" si="409"/>
        <v>1.2269620243434702</v>
      </c>
      <c r="W947" s="357">
        <f t="shared" ca="1" si="410"/>
        <v>80.067654464953549</v>
      </c>
      <c r="X947" s="343"/>
      <c r="Y947" s="367" t="str">
        <f t="shared" ca="1" si="428"/>
        <v/>
      </c>
      <c r="Z947" s="368" t="str">
        <f t="shared" ca="1" si="429"/>
        <v/>
      </c>
      <c r="AA947" s="369" t="str">
        <f t="shared" ca="1" si="430"/>
        <v/>
      </c>
      <c r="AB947" s="344"/>
      <c r="AC947" s="363" t="e">
        <f t="shared" ca="1" si="431"/>
        <v>#N/A</v>
      </c>
      <c r="AD947" s="376" t="e">
        <f t="shared" ca="1" si="432"/>
        <v>#N/A</v>
      </c>
      <c r="AE947" s="377" t="e">
        <f t="shared" ca="1" si="411"/>
        <v>#N/A</v>
      </c>
      <c r="AF947" s="344"/>
      <c r="AG947" s="359">
        <f t="shared" ca="1" si="433"/>
        <v>2.2105302125638016</v>
      </c>
      <c r="AH947" s="357">
        <f t="shared" ca="1" si="434"/>
        <v>-7.5265379508399057</v>
      </c>
    </row>
    <row r="948" spans="1:34" x14ac:dyDescent="0.25">
      <c r="A948" s="402">
        <f t="shared" ca="1" si="412"/>
        <v>1E-4</v>
      </c>
      <c r="B948" s="357">
        <f t="shared" ca="1" si="413"/>
        <v>47.402000000000406</v>
      </c>
      <c r="C948" s="342"/>
      <c r="D948" s="359">
        <f t="shared" ca="1" si="414"/>
        <v>-0.91606227866442835</v>
      </c>
      <c r="E948" s="360">
        <f t="shared" ca="1" si="415"/>
        <v>-2.3393849091513701</v>
      </c>
      <c r="F948" s="357">
        <f t="shared" ca="1" si="416"/>
        <v>2.5123478763015741</v>
      </c>
      <c r="G948" s="359">
        <f t="shared" ca="1" si="417"/>
        <v>20.574953747517299</v>
      </c>
      <c r="H948" s="360">
        <f t="shared" ca="1" si="418"/>
        <v>-167.79258593739917</v>
      </c>
      <c r="I948" s="357">
        <f t="shared" ca="1" si="419"/>
        <v>169.04934373511173</v>
      </c>
      <c r="J948" s="359">
        <f t="shared" ca="1" si="420"/>
        <v>1741.4112148507097</v>
      </c>
      <c r="K948" s="360">
        <f t="shared" ca="1" si="421"/>
        <v>-16.02048830919836</v>
      </c>
      <c r="L948" s="357">
        <f t="shared" ca="1" si="406"/>
        <v>1741.4849052614522</v>
      </c>
      <c r="M948" s="359">
        <f t="shared" ca="1" si="422"/>
        <v>-1.4487840672048813</v>
      </c>
      <c r="N948" s="357">
        <f t="shared" ca="1" si="423"/>
        <v>-83.009212476637515</v>
      </c>
      <c r="O948" s="343"/>
      <c r="P948" s="363">
        <f t="shared" ca="1" si="424"/>
        <v>23</v>
      </c>
      <c r="Q948" s="357">
        <f t="shared" ca="1" si="425"/>
        <v>0</v>
      </c>
      <c r="R948" s="359">
        <f t="shared" ca="1" si="426"/>
        <v>0</v>
      </c>
      <c r="S948" s="360">
        <f t="shared" ca="1" si="427"/>
        <v>10.637999999999975</v>
      </c>
      <c r="T948" s="357">
        <f t="shared" ca="1" si="407"/>
        <v>104.35877999999975</v>
      </c>
      <c r="U948" s="364">
        <f t="shared" ca="1" si="408"/>
        <v>0</v>
      </c>
      <c r="V948" s="359">
        <f t="shared" ca="1" si="409"/>
        <v>1.2269640830963908</v>
      </c>
      <c r="W948" s="357">
        <f t="shared" ca="1" si="410"/>
        <v>80.067998207280809</v>
      </c>
      <c r="X948" s="343"/>
      <c r="Y948" s="367" t="str">
        <f t="shared" ca="1" si="428"/>
        <v/>
      </c>
      <c r="Z948" s="368" t="str">
        <f t="shared" ca="1" si="429"/>
        <v/>
      </c>
      <c r="AA948" s="369" t="str">
        <f t="shared" ca="1" si="430"/>
        <v/>
      </c>
      <c r="AB948" s="344"/>
      <c r="AC948" s="363" t="e">
        <f t="shared" ca="1" si="431"/>
        <v>#N/A</v>
      </c>
      <c r="AD948" s="376" t="e">
        <f t="shared" ca="1" si="432"/>
        <v>#N/A</v>
      </c>
      <c r="AE948" s="377" t="e">
        <f t="shared" ca="1" si="411"/>
        <v>#N/A</v>
      </c>
      <c r="AF948" s="344"/>
      <c r="AG948" s="359">
        <f t="shared" ca="1" si="433"/>
        <v>2.2104987430355392</v>
      </c>
      <c r="AH948" s="357">
        <f t="shared" ca="1" si="434"/>
        <v>-7.5265702636730341</v>
      </c>
    </row>
    <row r="949" spans="1:34" x14ac:dyDescent="0.25">
      <c r="A949" s="402">
        <f t="shared" ca="1" si="412"/>
        <v>1E-4</v>
      </c>
      <c r="B949" s="357">
        <f t="shared" ca="1" si="413"/>
        <v>47.402100000000409</v>
      </c>
      <c r="C949" s="342"/>
      <c r="D949" s="359">
        <f t="shared" ca="1" si="414"/>
        <v>-0.9160609350080311</v>
      </c>
      <c r="E949" s="360">
        <f t="shared" ca="1" si="415"/>
        <v>-2.339352189684667</v>
      </c>
      <c r="F949" s="357">
        <f t="shared" ca="1" si="416"/>
        <v>2.5123169195048294</v>
      </c>
      <c r="G949" s="359">
        <f t="shared" ca="1" si="417"/>
        <v>20.574862141423797</v>
      </c>
      <c r="H949" s="360">
        <f t="shared" ca="1" si="418"/>
        <v>-167.79281987261814</v>
      </c>
      <c r="I949" s="357">
        <f t="shared" ca="1" si="419"/>
        <v>169.04956478188129</v>
      </c>
      <c r="J949" s="359">
        <f t="shared" ca="1" si="420"/>
        <v>1741.4112148507097</v>
      </c>
      <c r="K949" s="360">
        <f t="shared" ca="1" si="421"/>
        <v>-16.037267579488862</v>
      </c>
      <c r="L949" s="357">
        <f t="shared" ca="1" si="406"/>
        <v>1741.4850597002664</v>
      </c>
      <c r="M949" s="359">
        <f t="shared" ca="1" si="422"/>
        <v>-1.448784773490444</v>
      </c>
      <c r="N949" s="357">
        <f t="shared" ca="1" si="423"/>
        <v>-83.009252943819391</v>
      </c>
      <c r="O949" s="343"/>
      <c r="P949" s="363">
        <f t="shared" ca="1" si="424"/>
        <v>23</v>
      </c>
      <c r="Q949" s="357">
        <f t="shared" ca="1" si="425"/>
        <v>0</v>
      </c>
      <c r="R949" s="359">
        <f t="shared" ca="1" si="426"/>
        <v>0</v>
      </c>
      <c r="S949" s="360">
        <f t="shared" ca="1" si="427"/>
        <v>10.637999999999975</v>
      </c>
      <c r="T949" s="357">
        <f t="shared" ca="1" si="407"/>
        <v>104.35877999999975</v>
      </c>
      <c r="U949" s="364">
        <f t="shared" ca="1" si="408"/>
        <v>0</v>
      </c>
      <c r="V949" s="359">
        <f t="shared" ca="1" si="409"/>
        <v>1.2269661418556395</v>
      </c>
      <c r="W949" s="357">
        <f t="shared" ca="1" si="410"/>
        <v>80.06834194801651</v>
      </c>
      <c r="X949" s="343"/>
      <c r="Y949" s="367" t="str">
        <f t="shared" ca="1" si="428"/>
        <v/>
      </c>
      <c r="Z949" s="368" t="str">
        <f t="shared" ca="1" si="429"/>
        <v/>
      </c>
      <c r="AA949" s="369" t="str">
        <f t="shared" ca="1" si="430"/>
        <v/>
      </c>
      <c r="AB949" s="344"/>
      <c r="AC949" s="363" t="e">
        <f t="shared" ca="1" si="431"/>
        <v>#N/A</v>
      </c>
      <c r="AD949" s="376" t="e">
        <f t="shared" ca="1" si="432"/>
        <v>#N/A</v>
      </c>
      <c r="AE949" s="377" t="e">
        <f t="shared" ca="1" si="411"/>
        <v>#N/A</v>
      </c>
      <c r="AF949" s="344"/>
      <c r="AG949" s="359">
        <f t="shared" ca="1" si="433"/>
        <v>2.2104672736460698</v>
      </c>
      <c r="AH949" s="357">
        <f t="shared" ca="1" si="434"/>
        <v>-7.5266025763565514</v>
      </c>
    </row>
    <row r="950" spans="1:34" x14ac:dyDescent="0.25">
      <c r="A950" s="402">
        <f t="shared" ca="1" si="412"/>
        <v>1E-4</v>
      </c>
      <c r="B950" s="357">
        <f t="shared" ca="1" si="413"/>
        <v>47.402200000000413</v>
      </c>
      <c r="C950" s="342"/>
      <c r="D950" s="359">
        <f t="shared" ca="1" si="414"/>
        <v>-0.91605959132495507</v>
      </c>
      <c r="E950" s="360">
        <f t="shared" ca="1" si="415"/>
        <v>-2.3393194703692064</v>
      </c>
      <c r="F950" s="357">
        <f t="shared" ca="1" si="416"/>
        <v>2.5122859628845813</v>
      </c>
      <c r="G950" s="359">
        <f t="shared" ca="1" si="417"/>
        <v>20.574770535464665</v>
      </c>
      <c r="H950" s="360">
        <f t="shared" ca="1" si="418"/>
        <v>-167.79305380456518</v>
      </c>
      <c r="I950" s="357">
        <f t="shared" ca="1" si="419"/>
        <v>169.04978582550388</v>
      </c>
      <c r="J950" s="359">
        <f t="shared" ca="1" si="420"/>
        <v>1741.4112148507097</v>
      </c>
      <c r="K950" s="360">
        <f t="shared" ca="1" si="421"/>
        <v>-16.054046873172723</v>
      </c>
      <c r="L950" s="357">
        <f t="shared" ca="1" si="406"/>
        <v>1741.4852143009514</v>
      </c>
      <c r="M950" s="359">
        <f t="shared" ca="1" si="422"/>
        <v>-1.4487854797710149</v>
      </c>
      <c r="N950" s="357">
        <f t="shared" ca="1" si="423"/>
        <v>-83.009293410715259</v>
      </c>
      <c r="O950" s="343"/>
      <c r="P950" s="363">
        <f t="shared" ca="1" si="424"/>
        <v>23</v>
      </c>
      <c r="Q950" s="357">
        <f t="shared" ca="1" si="425"/>
        <v>0</v>
      </c>
      <c r="R950" s="359">
        <f t="shared" ca="1" si="426"/>
        <v>0</v>
      </c>
      <c r="S950" s="360">
        <f t="shared" ca="1" si="427"/>
        <v>10.637999999999975</v>
      </c>
      <c r="T950" s="357">
        <f t="shared" ca="1" si="407"/>
        <v>104.35877999999975</v>
      </c>
      <c r="U950" s="364">
        <f t="shared" ca="1" si="408"/>
        <v>0</v>
      </c>
      <c r="V950" s="359">
        <f t="shared" ca="1" si="409"/>
        <v>1.2269682006212153</v>
      </c>
      <c r="W950" s="357">
        <f t="shared" ca="1" si="410"/>
        <v>80.068685687160539</v>
      </c>
      <c r="X950" s="343"/>
      <c r="Y950" s="367" t="str">
        <f t="shared" ca="1" si="428"/>
        <v/>
      </c>
      <c r="Z950" s="368" t="str">
        <f t="shared" ca="1" si="429"/>
        <v/>
      </c>
      <c r="AA950" s="369" t="str">
        <f t="shared" ca="1" si="430"/>
        <v/>
      </c>
      <c r="AB950" s="344"/>
      <c r="AC950" s="363" t="e">
        <f t="shared" ca="1" si="431"/>
        <v>#N/A</v>
      </c>
      <c r="AD950" s="376" t="e">
        <f t="shared" ca="1" si="432"/>
        <v>#N/A</v>
      </c>
      <c r="AE950" s="377" t="e">
        <f t="shared" ca="1" si="411"/>
        <v>#N/A</v>
      </c>
      <c r="AF950" s="344"/>
      <c r="AG950" s="359">
        <f t="shared" ca="1" si="433"/>
        <v>2.2104358043953924</v>
      </c>
      <c r="AH950" s="357">
        <f t="shared" ca="1" si="434"/>
        <v>-7.5266348888904586</v>
      </c>
    </row>
    <row r="951" spans="1:34" x14ac:dyDescent="0.25">
      <c r="A951" s="402">
        <f t="shared" ca="1" si="412"/>
        <v>1E-4</v>
      </c>
      <c r="B951" s="357">
        <f t="shared" ca="1" si="413"/>
        <v>47.402300000000416</v>
      </c>
      <c r="C951" s="342"/>
      <c r="D951" s="359">
        <f t="shared" ca="1" si="414"/>
        <v>-0.91605824761519961</v>
      </c>
      <c r="E951" s="360">
        <f t="shared" ca="1" si="415"/>
        <v>-2.3392867512049991</v>
      </c>
      <c r="F951" s="357">
        <f t="shared" ca="1" si="416"/>
        <v>2.5122550064408409</v>
      </c>
      <c r="G951" s="359">
        <f t="shared" ca="1" si="417"/>
        <v>20.574678929639905</v>
      </c>
      <c r="H951" s="360">
        <f t="shared" ca="1" si="418"/>
        <v>-167.79328773324031</v>
      </c>
      <c r="I951" s="357">
        <f t="shared" ca="1" si="419"/>
        <v>169.05000686597958</v>
      </c>
      <c r="J951" s="359">
        <f t="shared" ca="1" si="420"/>
        <v>1741.4112148507097</v>
      </c>
      <c r="K951" s="360">
        <f t="shared" ca="1" si="421"/>
        <v>-16.070826190249612</v>
      </c>
      <c r="L951" s="357">
        <f t="shared" ca="1" si="406"/>
        <v>1741.4853690635077</v>
      </c>
      <c r="M951" s="359">
        <f t="shared" ca="1" si="422"/>
        <v>-1.4487861860465943</v>
      </c>
      <c r="N951" s="357">
        <f t="shared" ca="1" si="423"/>
        <v>-83.009333877325133</v>
      </c>
      <c r="O951" s="343"/>
      <c r="P951" s="363">
        <f t="shared" ca="1" si="424"/>
        <v>23</v>
      </c>
      <c r="Q951" s="357">
        <f t="shared" ca="1" si="425"/>
        <v>0</v>
      </c>
      <c r="R951" s="359">
        <f t="shared" ca="1" si="426"/>
        <v>0</v>
      </c>
      <c r="S951" s="360">
        <f t="shared" ca="1" si="427"/>
        <v>10.637999999999975</v>
      </c>
      <c r="T951" s="357">
        <f t="shared" ca="1" si="407"/>
        <v>104.35877999999975</v>
      </c>
      <c r="U951" s="364">
        <f t="shared" ca="1" si="408"/>
        <v>0</v>
      </c>
      <c r="V951" s="359">
        <f t="shared" ca="1" si="409"/>
        <v>1.2269702593931187</v>
      </c>
      <c r="W951" s="357">
        <f t="shared" ca="1" si="410"/>
        <v>80.06902942471298</v>
      </c>
      <c r="X951" s="343"/>
      <c r="Y951" s="367" t="str">
        <f t="shared" ca="1" si="428"/>
        <v/>
      </c>
      <c r="Z951" s="368" t="str">
        <f t="shared" ca="1" si="429"/>
        <v/>
      </c>
      <c r="AA951" s="369" t="str">
        <f t="shared" ca="1" si="430"/>
        <v/>
      </c>
      <c r="AB951" s="344"/>
      <c r="AC951" s="363" t="e">
        <f t="shared" ca="1" si="431"/>
        <v>#N/A</v>
      </c>
      <c r="AD951" s="376" t="e">
        <f t="shared" ca="1" si="432"/>
        <v>#N/A</v>
      </c>
      <c r="AE951" s="377" t="e">
        <f t="shared" ca="1" si="411"/>
        <v>#N/A</v>
      </c>
      <c r="AF951" s="344"/>
      <c r="AG951" s="359">
        <f t="shared" ca="1" si="433"/>
        <v>2.2104043352835188</v>
      </c>
      <c r="AH951" s="357">
        <f t="shared" ca="1" si="434"/>
        <v>-7.5266672012747442</v>
      </c>
    </row>
    <row r="952" spans="1:34" x14ac:dyDescent="0.25">
      <c r="A952" s="402">
        <f t="shared" ca="1" si="412"/>
        <v>1E-4</v>
      </c>
      <c r="B952" s="357">
        <f t="shared" ca="1" si="413"/>
        <v>47.402400000000419</v>
      </c>
      <c r="C952" s="342"/>
      <c r="D952" s="359">
        <f t="shared" ca="1" si="414"/>
        <v>-0.91605690387876482</v>
      </c>
      <c r="E952" s="360">
        <f t="shared" ca="1" si="415"/>
        <v>-2.3392540321920379</v>
      </c>
      <c r="F952" s="357">
        <f t="shared" ca="1" si="416"/>
        <v>2.512224050173602</v>
      </c>
      <c r="G952" s="359">
        <f t="shared" ca="1" si="417"/>
        <v>20.574587323949519</v>
      </c>
      <c r="H952" s="360">
        <f t="shared" ca="1" si="418"/>
        <v>-167.79352165864353</v>
      </c>
      <c r="I952" s="357">
        <f t="shared" ca="1" si="419"/>
        <v>169.05022790330835</v>
      </c>
      <c r="J952" s="359">
        <f t="shared" ca="1" si="420"/>
        <v>1741.4112148507097</v>
      </c>
      <c r="K952" s="360">
        <f t="shared" ca="1" si="421"/>
        <v>-16.087605530719205</v>
      </c>
      <c r="L952" s="357">
        <f t="shared" ca="1" si="406"/>
        <v>1741.4855239879362</v>
      </c>
      <c r="M952" s="359">
        <f t="shared" ca="1" si="422"/>
        <v>-1.4487868923171823</v>
      </c>
      <c r="N952" s="357">
        <f t="shared" ca="1" si="423"/>
        <v>-83.009374343649014</v>
      </c>
      <c r="O952" s="343"/>
      <c r="P952" s="363">
        <f t="shared" ca="1" si="424"/>
        <v>23</v>
      </c>
      <c r="Q952" s="357">
        <f t="shared" ca="1" si="425"/>
        <v>0</v>
      </c>
      <c r="R952" s="359">
        <f t="shared" ca="1" si="426"/>
        <v>0</v>
      </c>
      <c r="S952" s="360">
        <f t="shared" ca="1" si="427"/>
        <v>10.637999999999975</v>
      </c>
      <c r="T952" s="357">
        <f t="shared" ca="1" si="407"/>
        <v>104.35877999999975</v>
      </c>
      <c r="U952" s="364">
        <f t="shared" ca="1" si="408"/>
        <v>0</v>
      </c>
      <c r="V952" s="359">
        <f t="shared" ca="1" si="409"/>
        <v>1.2269723181713494</v>
      </c>
      <c r="W952" s="357">
        <f t="shared" ca="1" si="410"/>
        <v>80.069373160673777</v>
      </c>
      <c r="X952" s="343"/>
      <c r="Y952" s="367" t="str">
        <f t="shared" ca="1" si="428"/>
        <v/>
      </c>
      <c r="Z952" s="368" t="str">
        <f t="shared" ca="1" si="429"/>
        <v/>
      </c>
      <c r="AA952" s="369" t="str">
        <f t="shared" ca="1" si="430"/>
        <v/>
      </c>
      <c r="AB952" s="344"/>
      <c r="AC952" s="363" t="e">
        <f t="shared" ca="1" si="431"/>
        <v>#N/A</v>
      </c>
      <c r="AD952" s="376" t="e">
        <f t="shared" ca="1" si="432"/>
        <v>#N/A</v>
      </c>
      <c r="AE952" s="377" t="e">
        <f t="shared" ca="1" si="411"/>
        <v>#N/A</v>
      </c>
      <c r="AF952" s="344"/>
      <c r="AG952" s="359">
        <f t="shared" ca="1" si="433"/>
        <v>2.2103728663104443</v>
      </c>
      <c r="AH952" s="357">
        <f t="shared" ca="1" si="434"/>
        <v>-7.5266995135094161</v>
      </c>
    </row>
    <row r="953" spans="1:34" x14ac:dyDescent="0.25">
      <c r="A953" s="402">
        <f t="shared" ca="1" si="412"/>
        <v>1E-4</v>
      </c>
      <c r="B953" s="357">
        <f t="shared" ca="1" si="413"/>
        <v>47.402500000000423</v>
      </c>
      <c r="C953" s="342"/>
      <c r="D953" s="359">
        <f t="shared" ca="1" si="414"/>
        <v>-0.91605556011564926</v>
      </c>
      <c r="E953" s="360">
        <f t="shared" ca="1" si="415"/>
        <v>-2.3392213133303263</v>
      </c>
      <c r="F953" s="357">
        <f t="shared" ca="1" si="416"/>
        <v>2.5121930940828676</v>
      </c>
      <c r="G953" s="359">
        <f t="shared" ca="1" si="417"/>
        <v>20.574495718393507</v>
      </c>
      <c r="H953" s="360">
        <f t="shared" ca="1" si="418"/>
        <v>-167.79375558077487</v>
      </c>
      <c r="I953" s="357">
        <f t="shared" ca="1" si="419"/>
        <v>169.05044893749027</v>
      </c>
      <c r="J953" s="359">
        <f t="shared" ca="1" si="420"/>
        <v>1741.4112148507097</v>
      </c>
      <c r="K953" s="360">
        <f t="shared" ca="1" si="421"/>
        <v>-16.104384894581177</v>
      </c>
      <c r="L953" s="357">
        <f t="shared" ca="1" si="406"/>
        <v>1741.4856790742372</v>
      </c>
      <c r="M953" s="359">
        <f t="shared" ca="1" si="422"/>
        <v>-1.4487875985827787</v>
      </c>
      <c r="N953" s="357">
        <f t="shared" ca="1" si="423"/>
        <v>-83.009414809686916</v>
      </c>
      <c r="O953" s="343"/>
      <c r="P953" s="363">
        <f t="shared" ca="1" si="424"/>
        <v>23</v>
      </c>
      <c r="Q953" s="357">
        <f t="shared" ca="1" si="425"/>
        <v>0</v>
      </c>
      <c r="R953" s="359">
        <f t="shared" ca="1" si="426"/>
        <v>0</v>
      </c>
      <c r="S953" s="360">
        <f t="shared" ca="1" si="427"/>
        <v>10.637999999999975</v>
      </c>
      <c r="T953" s="357">
        <f t="shared" ca="1" si="407"/>
        <v>104.35877999999975</v>
      </c>
      <c r="U953" s="364">
        <f t="shared" ca="1" si="408"/>
        <v>0</v>
      </c>
      <c r="V953" s="359">
        <f t="shared" ca="1" si="409"/>
        <v>1.2269743769559074</v>
      </c>
      <c r="W953" s="357">
        <f t="shared" ca="1" si="410"/>
        <v>80.069716895042902</v>
      </c>
      <c r="X953" s="343"/>
      <c r="Y953" s="367" t="str">
        <f t="shared" ca="1" si="428"/>
        <v/>
      </c>
      <c r="Z953" s="368" t="str">
        <f t="shared" ca="1" si="429"/>
        <v/>
      </c>
      <c r="AA953" s="369" t="str">
        <f t="shared" ca="1" si="430"/>
        <v/>
      </c>
      <c r="AB953" s="344"/>
      <c r="AC953" s="363" t="e">
        <f t="shared" ca="1" si="431"/>
        <v>#N/A</v>
      </c>
      <c r="AD953" s="376" t="e">
        <f t="shared" ca="1" si="432"/>
        <v>#N/A</v>
      </c>
      <c r="AE953" s="377" t="e">
        <f t="shared" ca="1" si="411"/>
        <v>#N/A</v>
      </c>
      <c r="AF953" s="344"/>
      <c r="AG953" s="359">
        <f t="shared" ca="1" si="433"/>
        <v>2.2103413974761708</v>
      </c>
      <c r="AH953" s="357">
        <f t="shared" ca="1" si="434"/>
        <v>-7.5267318255944691</v>
      </c>
    </row>
    <row r="954" spans="1:34" x14ac:dyDescent="0.25">
      <c r="A954" s="402">
        <f t="shared" ca="1" si="412"/>
        <v>1E-4</v>
      </c>
      <c r="B954" s="357">
        <f t="shared" ca="1" si="413"/>
        <v>47.402600000000426</v>
      </c>
      <c r="C954" s="342"/>
      <c r="D954" s="359">
        <f t="shared" ca="1" si="414"/>
        <v>-0.91605421632585515</v>
      </c>
      <c r="E954" s="360">
        <f t="shared" ca="1" si="415"/>
        <v>-2.3391885946198689</v>
      </c>
      <c r="F954" s="357">
        <f t="shared" ca="1" si="416"/>
        <v>2.5121621381686441</v>
      </c>
      <c r="G954" s="359">
        <f t="shared" ca="1" si="417"/>
        <v>20.574404112971873</v>
      </c>
      <c r="H954" s="360">
        <f t="shared" ca="1" si="418"/>
        <v>-167.79398949963434</v>
      </c>
      <c r="I954" s="357">
        <f t="shared" ca="1" si="419"/>
        <v>169.05066996852534</v>
      </c>
      <c r="J954" s="359">
        <f t="shared" ca="1" si="420"/>
        <v>1741.4112148507097</v>
      </c>
      <c r="K954" s="360">
        <f t="shared" ca="1" si="421"/>
        <v>-16.121164281835195</v>
      </c>
      <c r="L954" s="357">
        <f t="shared" ca="1" si="406"/>
        <v>1741.4858343224118</v>
      </c>
      <c r="M954" s="359">
        <f t="shared" ca="1" si="422"/>
        <v>-1.4487883048433836</v>
      </c>
      <c r="N954" s="357">
        <f t="shared" ca="1" si="423"/>
        <v>-83.00945527543881</v>
      </c>
      <c r="O954" s="343"/>
      <c r="P954" s="363">
        <f t="shared" ca="1" si="424"/>
        <v>23</v>
      </c>
      <c r="Q954" s="357">
        <f t="shared" ca="1" si="425"/>
        <v>0</v>
      </c>
      <c r="R954" s="359">
        <f t="shared" ca="1" si="426"/>
        <v>0</v>
      </c>
      <c r="S954" s="360">
        <f t="shared" ca="1" si="427"/>
        <v>10.637999999999975</v>
      </c>
      <c r="T954" s="357">
        <f t="shared" ca="1" si="407"/>
        <v>104.35877999999975</v>
      </c>
      <c r="U954" s="364">
        <f t="shared" ca="1" si="408"/>
        <v>0</v>
      </c>
      <c r="V954" s="359">
        <f t="shared" ca="1" si="409"/>
        <v>1.2269764357467932</v>
      </c>
      <c r="W954" s="357">
        <f t="shared" ca="1" si="410"/>
        <v>80.070060627820453</v>
      </c>
      <c r="X954" s="343"/>
      <c r="Y954" s="367" t="str">
        <f t="shared" ca="1" si="428"/>
        <v/>
      </c>
      <c r="Z954" s="368" t="str">
        <f t="shared" ca="1" si="429"/>
        <v/>
      </c>
      <c r="AA954" s="369" t="str">
        <f t="shared" ca="1" si="430"/>
        <v/>
      </c>
      <c r="AB954" s="344"/>
      <c r="AC954" s="363" t="e">
        <f t="shared" ca="1" si="431"/>
        <v>#N/A</v>
      </c>
      <c r="AD954" s="376" t="e">
        <f t="shared" ca="1" si="432"/>
        <v>#N/A</v>
      </c>
      <c r="AE954" s="377" t="e">
        <f t="shared" ca="1" si="411"/>
        <v>#N/A</v>
      </c>
      <c r="AF954" s="344"/>
      <c r="AG954" s="359">
        <f t="shared" ca="1" si="433"/>
        <v>2.2103099287807018</v>
      </c>
      <c r="AH954" s="357">
        <f t="shared" ca="1" si="434"/>
        <v>-7.5267641375299013</v>
      </c>
    </row>
    <row r="955" spans="1:34" x14ac:dyDescent="0.25">
      <c r="A955" s="402">
        <f t="shared" ca="1" si="412"/>
        <v>1E-4</v>
      </c>
      <c r="B955" s="357">
        <f t="shared" ca="1" si="413"/>
        <v>47.402700000000429</v>
      </c>
      <c r="C955" s="342"/>
      <c r="D955" s="359">
        <f t="shared" ca="1" si="414"/>
        <v>-0.91605287250938428</v>
      </c>
      <c r="E955" s="360">
        <f t="shared" ca="1" si="415"/>
        <v>-2.339155876060655</v>
      </c>
      <c r="F955" s="357">
        <f t="shared" ca="1" si="416"/>
        <v>2.5121311824309225</v>
      </c>
      <c r="G955" s="359">
        <f t="shared" ca="1" si="417"/>
        <v>20.57431250768462</v>
      </c>
      <c r="H955" s="360">
        <f t="shared" ca="1" si="418"/>
        <v>-167.79422341522195</v>
      </c>
      <c r="I955" s="357">
        <f t="shared" ca="1" si="419"/>
        <v>169.05089099641353</v>
      </c>
      <c r="J955" s="359">
        <f t="shared" ca="1" si="420"/>
        <v>1741.4112148507097</v>
      </c>
      <c r="K955" s="360">
        <f t="shared" ca="1" si="421"/>
        <v>-16.137943692480938</v>
      </c>
      <c r="L955" s="357">
        <f t="shared" ca="1" si="406"/>
        <v>1741.4859897324602</v>
      </c>
      <c r="M955" s="359">
        <f t="shared" ca="1" si="422"/>
        <v>-1.4487890110989974</v>
      </c>
      <c r="N955" s="357">
        <f t="shared" ca="1" si="423"/>
        <v>-83.009495740904725</v>
      </c>
      <c r="O955" s="343"/>
      <c r="P955" s="363">
        <f t="shared" ca="1" si="424"/>
        <v>23</v>
      </c>
      <c r="Q955" s="357">
        <f t="shared" ca="1" si="425"/>
        <v>0</v>
      </c>
      <c r="R955" s="359">
        <f t="shared" ca="1" si="426"/>
        <v>0</v>
      </c>
      <c r="S955" s="360">
        <f t="shared" ca="1" si="427"/>
        <v>10.637999999999975</v>
      </c>
      <c r="T955" s="357">
        <f t="shared" ca="1" si="407"/>
        <v>104.35877999999975</v>
      </c>
      <c r="U955" s="364">
        <f t="shared" ca="1" si="408"/>
        <v>0</v>
      </c>
      <c r="V955" s="359">
        <f t="shared" ca="1" si="409"/>
        <v>1.2269784945440063</v>
      </c>
      <c r="W955" s="357">
        <f t="shared" ca="1" si="410"/>
        <v>80.070404359006289</v>
      </c>
      <c r="X955" s="343"/>
      <c r="Y955" s="367" t="str">
        <f t="shared" ca="1" si="428"/>
        <v/>
      </c>
      <c r="Z955" s="368" t="str">
        <f t="shared" ca="1" si="429"/>
        <v/>
      </c>
      <c r="AA955" s="369" t="str">
        <f t="shared" ca="1" si="430"/>
        <v/>
      </c>
      <c r="AB955" s="344"/>
      <c r="AC955" s="363" t="e">
        <f t="shared" ca="1" si="431"/>
        <v>#N/A</v>
      </c>
      <c r="AD955" s="376" t="e">
        <f t="shared" ca="1" si="432"/>
        <v>#N/A</v>
      </c>
      <c r="AE955" s="377" t="e">
        <f t="shared" ca="1" si="411"/>
        <v>#N/A</v>
      </c>
      <c r="AF955" s="344"/>
      <c r="AG955" s="359">
        <f t="shared" ca="1" si="433"/>
        <v>2.2102784602240293</v>
      </c>
      <c r="AH955" s="357">
        <f t="shared" ca="1" si="434"/>
        <v>-7.5267964493157207</v>
      </c>
    </row>
    <row r="956" spans="1:34" x14ac:dyDescent="0.25">
      <c r="A956" s="402">
        <f t="shared" ca="1" si="412"/>
        <v>1E-4</v>
      </c>
      <c r="B956" s="357">
        <f t="shared" ca="1" si="413"/>
        <v>47.402800000000433</v>
      </c>
      <c r="C956" s="342"/>
      <c r="D956" s="359">
        <f t="shared" ca="1" si="414"/>
        <v>-0.91605152866623263</v>
      </c>
      <c r="E956" s="360">
        <f t="shared" ca="1" si="415"/>
        <v>-2.3391231576526978</v>
      </c>
      <c r="F956" s="357">
        <f t="shared" ca="1" si="416"/>
        <v>2.5121002268697139</v>
      </c>
      <c r="G956" s="359">
        <f t="shared" ca="1" si="417"/>
        <v>20.574220902531753</v>
      </c>
      <c r="H956" s="360">
        <f t="shared" ca="1" si="418"/>
        <v>-167.79445732753771</v>
      </c>
      <c r="I956" s="357">
        <f t="shared" ca="1" si="419"/>
        <v>169.05111202115486</v>
      </c>
      <c r="J956" s="359">
        <f t="shared" ca="1" si="420"/>
        <v>1741.4112148507097</v>
      </c>
      <c r="K956" s="360">
        <f t="shared" ca="1" si="421"/>
        <v>-16.154723126518075</v>
      </c>
      <c r="L956" s="357">
        <f t="shared" ca="1" si="406"/>
        <v>1741.4861453043832</v>
      </c>
      <c r="M956" s="359">
        <f t="shared" ca="1" si="422"/>
        <v>-1.4487897173496196</v>
      </c>
      <c r="N956" s="357">
        <f t="shared" ca="1" si="423"/>
        <v>-83.009536206084661</v>
      </c>
      <c r="O956" s="343"/>
      <c r="P956" s="363">
        <f t="shared" ca="1" si="424"/>
        <v>23</v>
      </c>
      <c r="Q956" s="357">
        <f t="shared" ca="1" si="425"/>
        <v>0</v>
      </c>
      <c r="R956" s="359">
        <f t="shared" ca="1" si="426"/>
        <v>0</v>
      </c>
      <c r="S956" s="360">
        <f t="shared" ca="1" si="427"/>
        <v>10.637999999999975</v>
      </c>
      <c r="T956" s="357">
        <f t="shared" ca="1" si="407"/>
        <v>104.35877999999975</v>
      </c>
      <c r="U956" s="364">
        <f t="shared" ca="1" si="408"/>
        <v>0</v>
      </c>
      <c r="V956" s="359">
        <f t="shared" ca="1" si="409"/>
        <v>1.2269805533475469</v>
      </c>
      <c r="W956" s="357">
        <f t="shared" ca="1" si="410"/>
        <v>80.070748088600453</v>
      </c>
      <c r="X956" s="343"/>
      <c r="Y956" s="367" t="str">
        <f t="shared" ca="1" si="428"/>
        <v/>
      </c>
      <c r="Z956" s="368" t="str">
        <f t="shared" ca="1" si="429"/>
        <v/>
      </c>
      <c r="AA956" s="369" t="str">
        <f t="shared" ca="1" si="430"/>
        <v/>
      </c>
      <c r="AB956" s="344"/>
      <c r="AC956" s="363" t="e">
        <f t="shared" ca="1" si="431"/>
        <v>#N/A</v>
      </c>
      <c r="AD956" s="376" t="e">
        <f t="shared" ca="1" si="432"/>
        <v>#N/A</v>
      </c>
      <c r="AE956" s="377" t="e">
        <f t="shared" ca="1" si="411"/>
        <v>#N/A</v>
      </c>
      <c r="AF956" s="344"/>
      <c r="AG956" s="359">
        <f t="shared" ca="1" si="433"/>
        <v>2.2102469918061631</v>
      </c>
      <c r="AH956" s="357">
        <f t="shared" ca="1" si="434"/>
        <v>-7.5268287609519158</v>
      </c>
    </row>
    <row r="957" spans="1:34" x14ac:dyDescent="0.25">
      <c r="A957" s="402">
        <f t="shared" ca="1" si="412"/>
        <v>1E-4</v>
      </c>
      <c r="B957" s="357">
        <f t="shared" ca="1" si="413"/>
        <v>47.402900000000436</v>
      </c>
      <c r="C957" s="342"/>
      <c r="D957" s="359">
        <f t="shared" ca="1" si="414"/>
        <v>-0.91605018479640477</v>
      </c>
      <c r="E957" s="360">
        <f t="shared" ca="1" si="415"/>
        <v>-2.3390904393959948</v>
      </c>
      <c r="F957" s="357">
        <f t="shared" ca="1" si="416"/>
        <v>2.5120692714850192</v>
      </c>
      <c r="G957" s="359">
        <f t="shared" ca="1" si="417"/>
        <v>20.574129297513274</v>
      </c>
      <c r="H957" s="360">
        <f t="shared" ca="1" si="418"/>
        <v>-167.79469123658166</v>
      </c>
      <c r="I957" s="357">
        <f t="shared" ca="1" si="419"/>
        <v>169.05133304274938</v>
      </c>
      <c r="J957" s="359">
        <f t="shared" ca="1" si="420"/>
        <v>1741.4112148507097</v>
      </c>
      <c r="K957" s="360">
        <f t="shared" ca="1" si="421"/>
        <v>-16.171502583946282</v>
      </c>
      <c r="L957" s="357">
        <f t="shared" ca="1" si="406"/>
        <v>1741.4863010381814</v>
      </c>
      <c r="M957" s="359">
        <f t="shared" ca="1" si="422"/>
        <v>-1.4487904235952507</v>
      </c>
      <c r="N957" s="357">
        <f t="shared" ca="1" si="423"/>
        <v>-83.009576670978618</v>
      </c>
      <c r="O957" s="343"/>
      <c r="P957" s="363">
        <f t="shared" ca="1" si="424"/>
        <v>23</v>
      </c>
      <c r="Q957" s="357">
        <f t="shared" ca="1" si="425"/>
        <v>0</v>
      </c>
      <c r="R957" s="359">
        <f t="shared" ca="1" si="426"/>
        <v>0</v>
      </c>
      <c r="S957" s="360">
        <f t="shared" ca="1" si="427"/>
        <v>10.637999999999975</v>
      </c>
      <c r="T957" s="357">
        <f t="shared" ca="1" si="407"/>
        <v>104.35877999999975</v>
      </c>
      <c r="U957" s="364">
        <f t="shared" ca="1" si="408"/>
        <v>0</v>
      </c>
      <c r="V957" s="359">
        <f t="shared" ca="1" si="409"/>
        <v>1.226982612157415</v>
      </c>
      <c r="W957" s="357">
        <f t="shared" ca="1" si="410"/>
        <v>80.071091816602959</v>
      </c>
      <c r="X957" s="343"/>
      <c r="Y957" s="367" t="str">
        <f t="shared" ca="1" si="428"/>
        <v/>
      </c>
      <c r="Z957" s="368" t="str">
        <f t="shared" ca="1" si="429"/>
        <v/>
      </c>
      <c r="AA957" s="369" t="str">
        <f t="shared" ca="1" si="430"/>
        <v/>
      </c>
      <c r="AB957" s="344"/>
      <c r="AC957" s="363" t="e">
        <f t="shared" ca="1" si="431"/>
        <v>#N/A</v>
      </c>
      <c r="AD957" s="376" t="e">
        <f t="shared" ca="1" si="432"/>
        <v>#N/A</v>
      </c>
      <c r="AE957" s="377" t="e">
        <f t="shared" ca="1" si="411"/>
        <v>#N/A</v>
      </c>
      <c r="AF957" s="344"/>
      <c r="AG957" s="359">
        <f t="shared" ca="1" si="433"/>
        <v>2.210215523527105</v>
      </c>
      <c r="AH957" s="357">
        <f t="shared" ca="1" si="434"/>
        <v>-7.5268610724384883</v>
      </c>
    </row>
    <row r="958" spans="1:34" x14ac:dyDescent="0.25">
      <c r="A958" s="402">
        <f t="shared" ca="1" si="412"/>
        <v>1E-4</v>
      </c>
      <c r="B958" s="357">
        <f t="shared" ca="1" si="413"/>
        <v>47.403000000000439</v>
      </c>
      <c r="C958" s="342"/>
      <c r="D958" s="359">
        <f t="shared" ca="1" si="414"/>
        <v>-0.91604884089989824</v>
      </c>
      <c r="E958" s="360">
        <f t="shared" ca="1" si="415"/>
        <v>-2.3390577212905423</v>
      </c>
      <c r="F958" s="357">
        <f t="shared" ca="1" si="416"/>
        <v>2.512038316276834</v>
      </c>
      <c r="G958" s="359">
        <f t="shared" ca="1" si="417"/>
        <v>20.574037692629183</v>
      </c>
      <c r="H958" s="360">
        <f t="shared" ca="1" si="418"/>
        <v>-167.79492514235378</v>
      </c>
      <c r="I958" s="357">
        <f t="shared" ca="1" si="419"/>
        <v>169.05155406119707</v>
      </c>
      <c r="J958" s="359">
        <f t="shared" ca="1" si="420"/>
        <v>1741.4112148507097</v>
      </c>
      <c r="K958" s="360">
        <f t="shared" ca="1" si="421"/>
        <v>-16.188282064765229</v>
      </c>
      <c r="L958" s="357">
        <f t="shared" ca="1" si="406"/>
        <v>1741.4864569338554</v>
      </c>
      <c r="M958" s="359">
        <f t="shared" ca="1" si="422"/>
        <v>-1.4487911298358906</v>
      </c>
      <c r="N958" s="357">
        <f t="shared" ca="1" si="423"/>
        <v>-83.009617135586609</v>
      </c>
      <c r="O958" s="343"/>
      <c r="P958" s="363">
        <f t="shared" ca="1" si="424"/>
        <v>23</v>
      </c>
      <c r="Q958" s="357">
        <f t="shared" ca="1" si="425"/>
        <v>0</v>
      </c>
      <c r="R958" s="359">
        <f t="shared" ca="1" si="426"/>
        <v>0</v>
      </c>
      <c r="S958" s="360">
        <f t="shared" ca="1" si="427"/>
        <v>10.637999999999975</v>
      </c>
      <c r="T958" s="357">
        <f t="shared" ca="1" si="407"/>
        <v>104.35877999999975</v>
      </c>
      <c r="U958" s="364">
        <f t="shared" ca="1" si="408"/>
        <v>0</v>
      </c>
      <c r="V958" s="359">
        <f t="shared" ca="1" si="409"/>
        <v>1.2269846709736101</v>
      </c>
      <c r="W958" s="357">
        <f t="shared" ca="1" si="410"/>
        <v>80.07143554301372</v>
      </c>
      <c r="X958" s="343"/>
      <c r="Y958" s="367" t="str">
        <f t="shared" ca="1" si="428"/>
        <v/>
      </c>
      <c r="Z958" s="368" t="str">
        <f t="shared" ca="1" si="429"/>
        <v/>
      </c>
      <c r="AA958" s="369" t="str">
        <f t="shared" ca="1" si="430"/>
        <v/>
      </c>
      <c r="AB958" s="344"/>
      <c r="AC958" s="363" t="e">
        <f t="shared" ca="1" si="431"/>
        <v>#N/A</v>
      </c>
      <c r="AD958" s="376" t="e">
        <f t="shared" ca="1" si="432"/>
        <v>#N/A</v>
      </c>
      <c r="AE958" s="377" t="e">
        <f t="shared" ca="1" si="411"/>
        <v>#N/A</v>
      </c>
      <c r="AF958" s="344"/>
      <c r="AG958" s="359">
        <f t="shared" ca="1" si="433"/>
        <v>2.2101840553868497</v>
      </c>
      <c r="AH958" s="357">
        <f t="shared" ca="1" si="434"/>
        <v>-7.5268933837754419</v>
      </c>
    </row>
    <row r="959" spans="1:34" x14ac:dyDescent="0.25">
      <c r="A959" s="402">
        <f t="shared" ca="1" si="412"/>
        <v>1E-4</v>
      </c>
      <c r="B959" s="357">
        <f t="shared" ca="1" si="413"/>
        <v>47.403100000000443</v>
      </c>
      <c r="C959" s="342"/>
      <c r="D959" s="359">
        <f t="shared" ca="1" si="414"/>
        <v>-0.91604749697671306</v>
      </c>
      <c r="E959" s="360">
        <f t="shared" ca="1" si="415"/>
        <v>-2.3390250033363511</v>
      </c>
      <c r="F959" s="357">
        <f t="shared" ca="1" si="416"/>
        <v>2.5120073612451694</v>
      </c>
      <c r="G959" s="359">
        <f t="shared" ca="1" si="417"/>
        <v>20.573946087879484</v>
      </c>
      <c r="H959" s="360">
        <f t="shared" ca="1" si="418"/>
        <v>-167.7951590448541</v>
      </c>
      <c r="I959" s="357">
        <f t="shared" ca="1" si="419"/>
        <v>169.05177507649796</v>
      </c>
      <c r="J959" s="359">
        <f t="shared" ca="1" si="420"/>
        <v>1741.4112148507097</v>
      </c>
      <c r="K959" s="360">
        <f t="shared" ca="1" si="421"/>
        <v>-16.205061568974589</v>
      </c>
      <c r="L959" s="357">
        <f t="shared" ca="1" si="406"/>
        <v>1741.486612991406</v>
      </c>
      <c r="M959" s="359">
        <f t="shared" ca="1" si="422"/>
        <v>-1.4487918360715393</v>
      </c>
      <c r="N959" s="357">
        <f t="shared" ca="1" si="423"/>
        <v>-83.009657599908621</v>
      </c>
      <c r="O959" s="343"/>
      <c r="P959" s="363">
        <f t="shared" ca="1" si="424"/>
        <v>23</v>
      </c>
      <c r="Q959" s="357">
        <f t="shared" ca="1" si="425"/>
        <v>0</v>
      </c>
      <c r="R959" s="359">
        <f t="shared" ca="1" si="426"/>
        <v>0</v>
      </c>
      <c r="S959" s="360">
        <f t="shared" ca="1" si="427"/>
        <v>10.637999999999975</v>
      </c>
      <c r="T959" s="357">
        <f t="shared" ca="1" si="407"/>
        <v>104.35877999999975</v>
      </c>
      <c r="U959" s="364">
        <f t="shared" ca="1" si="408"/>
        <v>0</v>
      </c>
      <c r="V959" s="359">
        <f t="shared" ca="1" si="409"/>
        <v>1.2269867297961328</v>
      </c>
      <c r="W959" s="357">
        <f t="shared" ca="1" si="410"/>
        <v>80.07177926783281</v>
      </c>
      <c r="X959" s="343"/>
      <c r="Y959" s="367" t="str">
        <f t="shared" ca="1" si="428"/>
        <v/>
      </c>
      <c r="Z959" s="368" t="str">
        <f t="shared" ca="1" si="429"/>
        <v/>
      </c>
      <c r="AA959" s="369" t="str">
        <f t="shared" ca="1" si="430"/>
        <v/>
      </c>
      <c r="AB959" s="344"/>
      <c r="AC959" s="363" t="e">
        <f t="shared" ca="1" si="431"/>
        <v>#N/A</v>
      </c>
      <c r="AD959" s="376" t="e">
        <f t="shared" ca="1" si="432"/>
        <v>#N/A</v>
      </c>
      <c r="AE959" s="377" t="e">
        <f t="shared" ca="1" si="411"/>
        <v>#N/A</v>
      </c>
      <c r="AF959" s="344"/>
      <c r="AG959" s="359">
        <f t="shared" ca="1" si="433"/>
        <v>2.2101525873854087</v>
      </c>
      <c r="AH959" s="357">
        <f t="shared" ca="1" si="434"/>
        <v>-7.5269256949627668</v>
      </c>
    </row>
    <row r="960" spans="1:34" x14ac:dyDescent="0.25">
      <c r="A960" s="402">
        <f t="shared" ca="1" si="412"/>
        <v>1E-4</v>
      </c>
      <c r="B960" s="357">
        <f t="shared" ca="1" si="413"/>
        <v>47.403200000000446</v>
      </c>
      <c r="C960" s="342"/>
      <c r="D960" s="359">
        <f t="shared" ca="1" si="414"/>
        <v>-0.91604615302685233</v>
      </c>
      <c r="E960" s="360">
        <f t="shared" ca="1" si="415"/>
        <v>-2.3389922855334122</v>
      </c>
      <c r="F960" s="357">
        <f t="shared" ca="1" si="416"/>
        <v>2.5119764063900183</v>
      </c>
      <c r="G960" s="359">
        <f t="shared" ca="1" si="417"/>
        <v>20.573854483264181</v>
      </c>
      <c r="H960" s="360">
        <f t="shared" ca="1" si="418"/>
        <v>-167.79539294408266</v>
      </c>
      <c r="I960" s="357">
        <f t="shared" ca="1" si="419"/>
        <v>169.05199608865206</v>
      </c>
      <c r="J960" s="359">
        <f t="shared" ca="1" si="420"/>
        <v>1741.4112148507097</v>
      </c>
      <c r="K960" s="360">
        <f t="shared" ca="1" si="421"/>
        <v>-16.221841096574035</v>
      </c>
      <c r="L960" s="357">
        <f t="shared" ca="1" si="406"/>
        <v>1741.4867692108335</v>
      </c>
      <c r="M960" s="359">
        <f t="shared" ca="1" si="422"/>
        <v>-1.448792542302197</v>
      </c>
      <c r="N960" s="357">
        <f t="shared" ca="1" si="423"/>
        <v>-83.009698063944668</v>
      </c>
      <c r="O960" s="343"/>
      <c r="P960" s="363">
        <f t="shared" ca="1" si="424"/>
        <v>23</v>
      </c>
      <c r="Q960" s="357">
        <f t="shared" ca="1" si="425"/>
        <v>0</v>
      </c>
      <c r="R960" s="359">
        <f t="shared" ca="1" si="426"/>
        <v>0</v>
      </c>
      <c r="S960" s="360">
        <f t="shared" ca="1" si="427"/>
        <v>10.637999999999975</v>
      </c>
      <c r="T960" s="357">
        <f t="shared" ca="1" si="407"/>
        <v>104.35877999999975</v>
      </c>
      <c r="U960" s="364">
        <f t="shared" ca="1" si="408"/>
        <v>0</v>
      </c>
      <c r="V960" s="359">
        <f t="shared" ca="1" si="409"/>
        <v>1.2269887886249826</v>
      </c>
      <c r="W960" s="357">
        <f t="shared" ca="1" si="410"/>
        <v>80.072122991060169</v>
      </c>
      <c r="X960" s="343"/>
      <c r="Y960" s="367" t="str">
        <f t="shared" ca="1" si="428"/>
        <v/>
      </c>
      <c r="Z960" s="368" t="str">
        <f t="shared" ca="1" si="429"/>
        <v/>
      </c>
      <c r="AA960" s="369" t="str">
        <f t="shared" ca="1" si="430"/>
        <v/>
      </c>
      <c r="AB960" s="344"/>
      <c r="AC960" s="363" t="e">
        <f t="shared" ca="1" si="431"/>
        <v>#N/A</v>
      </c>
      <c r="AD960" s="376" t="e">
        <f t="shared" ca="1" si="432"/>
        <v>#N/A</v>
      </c>
      <c r="AE960" s="377" t="e">
        <f t="shared" ca="1" si="411"/>
        <v>#N/A</v>
      </c>
      <c r="AF960" s="344"/>
      <c r="AG960" s="359">
        <f t="shared" ca="1" si="433"/>
        <v>2.210121119522773</v>
      </c>
      <c r="AH960" s="357">
        <f t="shared" ca="1" si="434"/>
        <v>-7.5269580060004699</v>
      </c>
    </row>
    <row r="961" spans="1:34" x14ac:dyDescent="0.25">
      <c r="A961" s="402">
        <f t="shared" ca="1" si="412"/>
        <v>1E-4</v>
      </c>
      <c r="B961" s="357">
        <f t="shared" ca="1" si="413"/>
        <v>47.403300000000449</v>
      </c>
      <c r="C961" s="342"/>
      <c r="D961" s="359">
        <f t="shared" ca="1" si="414"/>
        <v>-0.91604480905031282</v>
      </c>
      <c r="E961" s="360">
        <f t="shared" ca="1" si="415"/>
        <v>-2.3389595678817328</v>
      </c>
      <c r="F961" s="357">
        <f t="shared" ca="1" si="416"/>
        <v>2.5119454517113877</v>
      </c>
      <c r="G961" s="359">
        <f t="shared" ca="1" si="417"/>
        <v>20.573762878783278</v>
      </c>
      <c r="H961" s="360">
        <f t="shared" ca="1" si="418"/>
        <v>-167.79562684003946</v>
      </c>
      <c r="I961" s="357">
        <f t="shared" ca="1" si="419"/>
        <v>169.05221709765942</v>
      </c>
      <c r="J961" s="359">
        <f t="shared" ca="1" si="420"/>
        <v>1741.4112148507097</v>
      </c>
      <c r="K961" s="360">
        <f t="shared" ca="1" si="421"/>
        <v>-16.238620647563241</v>
      </c>
      <c r="L961" s="357">
        <f t="shared" ca="1" si="406"/>
        <v>1741.486925592139</v>
      </c>
      <c r="M961" s="359">
        <f t="shared" ca="1" si="422"/>
        <v>-1.4487932485278636</v>
      </c>
      <c r="N961" s="357">
        <f t="shared" ca="1" si="423"/>
        <v>-83.009738527694751</v>
      </c>
      <c r="O961" s="343"/>
      <c r="P961" s="363">
        <f t="shared" ca="1" si="424"/>
        <v>23</v>
      </c>
      <c r="Q961" s="357">
        <f t="shared" ca="1" si="425"/>
        <v>0</v>
      </c>
      <c r="R961" s="359">
        <f t="shared" ca="1" si="426"/>
        <v>0</v>
      </c>
      <c r="S961" s="360">
        <f t="shared" ca="1" si="427"/>
        <v>10.637999999999975</v>
      </c>
      <c r="T961" s="357">
        <f t="shared" ca="1" si="407"/>
        <v>104.35877999999975</v>
      </c>
      <c r="U961" s="364">
        <f t="shared" ca="1" si="408"/>
        <v>0</v>
      </c>
      <c r="V961" s="359">
        <f t="shared" ca="1" si="409"/>
        <v>1.2269908474601603</v>
      </c>
      <c r="W961" s="357">
        <f t="shared" ca="1" si="410"/>
        <v>80.072466712695871</v>
      </c>
      <c r="X961" s="343"/>
      <c r="Y961" s="367" t="str">
        <f t="shared" ca="1" si="428"/>
        <v/>
      </c>
      <c r="Z961" s="368" t="str">
        <f t="shared" ca="1" si="429"/>
        <v/>
      </c>
      <c r="AA961" s="369" t="str">
        <f t="shared" ca="1" si="430"/>
        <v/>
      </c>
      <c r="AB961" s="344"/>
      <c r="AC961" s="363" t="e">
        <f t="shared" ca="1" si="431"/>
        <v>#N/A</v>
      </c>
      <c r="AD961" s="376" t="e">
        <f t="shared" ca="1" si="432"/>
        <v>#N/A</v>
      </c>
      <c r="AE961" s="377" t="e">
        <f t="shared" ca="1" si="411"/>
        <v>#N/A</v>
      </c>
      <c r="AF961" s="344"/>
      <c r="AG961" s="359">
        <f t="shared" ca="1" si="433"/>
        <v>2.2100896517989499</v>
      </c>
      <c r="AH961" s="357">
        <f t="shared" ca="1" si="434"/>
        <v>-7.5269903168885461</v>
      </c>
    </row>
    <row r="962" spans="1:34" x14ac:dyDescent="0.25">
      <c r="A962" s="402">
        <f t="shared" ca="1" si="412"/>
        <v>1E-4</v>
      </c>
      <c r="B962" s="357">
        <f t="shared" ca="1" si="413"/>
        <v>47.403400000000453</v>
      </c>
      <c r="C962" s="342"/>
      <c r="D962" s="359">
        <f t="shared" ca="1" si="414"/>
        <v>-0.9160434650470981</v>
      </c>
      <c r="E962" s="360">
        <f t="shared" ca="1" si="415"/>
        <v>-2.3389268503813039</v>
      </c>
      <c r="F962" s="357">
        <f t="shared" ca="1" si="416"/>
        <v>2.5119144972092702</v>
      </c>
      <c r="G962" s="359">
        <f t="shared" ca="1" si="417"/>
        <v>20.573671274436773</v>
      </c>
      <c r="H962" s="360">
        <f t="shared" ca="1" si="418"/>
        <v>-167.79586073272449</v>
      </c>
      <c r="I962" s="357">
        <f t="shared" ca="1" si="419"/>
        <v>169.05243810351999</v>
      </c>
      <c r="J962" s="359">
        <f t="shared" ca="1" si="420"/>
        <v>1741.4112148507097</v>
      </c>
      <c r="K962" s="360">
        <f t="shared" ca="1" si="421"/>
        <v>-16.25540022194188</v>
      </c>
      <c r="L962" s="357">
        <f t="shared" ca="1" si="406"/>
        <v>1741.4870821353227</v>
      </c>
      <c r="M962" s="359">
        <f t="shared" ca="1" si="422"/>
        <v>-1.4487939547485393</v>
      </c>
      <c r="N962" s="357">
        <f t="shared" ca="1" si="423"/>
        <v>-83.009778991158882</v>
      </c>
      <c r="O962" s="343"/>
      <c r="P962" s="363">
        <f t="shared" ca="1" si="424"/>
        <v>23</v>
      </c>
      <c r="Q962" s="357">
        <f t="shared" ca="1" si="425"/>
        <v>0</v>
      </c>
      <c r="R962" s="359">
        <f t="shared" ca="1" si="426"/>
        <v>0</v>
      </c>
      <c r="S962" s="360">
        <f t="shared" ca="1" si="427"/>
        <v>10.637999999999975</v>
      </c>
      <c r="T962" s="357">
        <f t="shared" ca="1" si="407"/>
        <v>104.35877999999975</v>
      </c>
      <c r="U962" s="364">
        <f t="shared" ca="1" si="408"/>
        <v>0</v>
      </c>
      <c r="V962" s="359">
        <f t="shared" ca="1" si="409"/>
        <v>1.2269929063016647</v>
      </c>
      <c r="W962" s="357">
        <f t="shared" ca="1" si="410"/>
        <v>80.072810432739757</v>
      </c>
      <c r="X962" s="343"/>
      <c r="Y962" s="367" t="str">
        <f t="shared" ca="1" si="428"/>
        <v/>
      </c>
      <c r="Z962" s="368" t="str">
        <f t="shared" ca="1" si="429"/>
        <v/>
      </c>
      <c r="AA962" s="369" t="str">
        <f t="shared" ca="1" si="430"/>
        <v/>
      </c>
      <c r="AB962" s="344"/>
      <c r="AC962" s="363" t="e">
        <f t="shared" ca="1" si="431"/>
        <v>#N/A</v>
      </c>
      <c r="AD962" s="376" t="e">
        <f t="shared" ca="1" si="432"/>
        <v>#N/A</v>
      </c>
      <c r="AE962" s="377" t="e">
        <f t="shared" ca="1" si="411"/>
        <v>#N/A</v>
      </c>
      <c r="AF962" s="344"/>
      <c r="AG962" s="359">
        <f t="shared" ca="1" si="433"/>
        <v>2.2100581842139277</v>
      </c>
      <c r="AH962" s="357">
        <f t="shared" ca="1" si="434"/>
        <v>-7.5270226276270034</v>
      </c>
    </row>
    <row r="963" spans="1:34" x14ac:dyDescent="0.25">
      <c r="A963" s="402">
        <f t="shared" ca="1" si="412"/>
        <v>1E-4</v>
      </c>
      <c r="B963" s="357">
        <f t="shared" ca="1" si="413"/>
        <v>47.403500000000456</v>
      </c>
      <c r="C963" s="342"/>
      <c r="D963" s="359">
        <f t="shared" ca="1" si="414"/>
        <v>-0.91604212101720539</v>
      </c>
      <c r="E963" s="360">
        <f t="shared" ca="1" si="415"/>
        <v>-2.3388941330321442</v>
      </c>
      <c r="F963" s="357">
        <f t="shared" ca="1" si="416"/>
        <v>2.5118835428836834</v>
      </c>
      <c r="G963" s="359">
        <f t="shared" ca="1" si="417"/>
        <v>20.573579670224671</v>
      </c>
      <c r="H963" s="360">
        <f t="shared" ca="1" si="418"/>
        <v>-167.79609462213779</v>
      </c>
      <c r="I963" s="357">
        <f t="shared" ca="1" si="419"/>
        <v>169.05265910623382</v>
      </c>
      <c r="J963" s="359">
        <f t="shared" ca="1" si="420"/>
        <v>1741.4112148507097</v>
      </c>
      <c r="K963" s="360">
        <f t="shared" ca="1" si="421"/>
        <v>-16.272179819709624</v>
      </c>
      <c r="L963" s="357">
        <f t="shared" ca="1" si="406"/>
        <v>1741.4872388403853</v>
      </c>
      <c r="M963" s="359">
        <f t="shared" ca="1" si="422"/>
        <v>-1.4487946609642239</v>
      </c>
      <c r="N963" s="357">
        <f t="shared" ca="1" si="423"/>
        <v>-83.009819454337034</v>
      </c>
      <c r="O963" s="343"/>
      <c r="P963" s="363">
        <f t="shared" ca="1" si="424"/>
        <v>23</v>
      </c>
      <c r="Q963" s="357">
        <f t="shared" ca="1" si="425"/>
        <v>0</v>
      </c>
      <c r="R963" s="359">
        <f t="shared" ca="1" si="426"/>
        <v>0</v>
      </c>
      <c r="S963" s="360">
        <f t="shared" ca="1" si="427"/>
        <v>10.637999999999975</v>
      </c>
      <c r="T963" s="357">
        <f t="shared" ca="1" si="407"/>
        <v>104.35877999999975</v>
      </c>
      <c r="U963" s="364">
        <f t="shared" ca="1" si="408"/>
        <v>0</v>
      </c>
      <c r="V963" s="359">
        <f t="shared" ca="1" si="409"/>
        <v>1.2269949651494969</v>
      </c>
      <c r="W963" s="357">
        <f t="shared" ca="1" si="410"/>
        <v>80.073154151191943</v>
      </c>
      <c r="X963" s="343"/>
      <c r="Y963" s="367" t="str">
        <f t="shared" ca="1" si="428"/>
        <v/>
      </c>
      <c r="Z963" s="368" t="str">
        <f t="shared" ca="1" si="429"/>
        <v/>
      </c>
      <c r="AA963" s="369" t="str">
        <f t="shared" ca="1" si="430"/>
        <v/>
      </c>
      <c r="AB963" s="344"/>
      <c r="AC963" s="363" t="e">
        <f t="shared" ca="1" si="431"/>
        <v>#N/A</v>
      </c>
      <c r="AD963" s="376" t="e">
        <f t="shared" ca="1" si="432"/>
        <v>#N/A</v>
      </c>
      <c r="AE963" s="377" t="e">
        <f t="shared" ca="1" si="411"/>
        <v>#N/A</v>
      </c>
      <c r="AF963" s="344"/>
      <c r="AG963" s="359">
        <f t="shared" ca="1" si="433"/>
        <v>2.2100267167677288</v>
      </c>
      <c r="AH963" s="357">
        <f t="shared" ca="1" si="434"/>
        <v>-7.5270549382158247</v>
      </c>
    </row>
    <row r="964" spans="1:34" x14ac:dyDescent="0.25">
      <c r="A964" s="402">
        <f t="shared" ca="1" si="412"/>
        <v>1E-4</v>
      </c>
      <c r="B964" s="357">
        <f t="shared" ca="1" si="413"/>
        <v>47.403600000000459</v>
      </c>
      <c r="C964" s="342"/>
      <c r="D964" s="359">
        <f t="shared" ca="1" si="414"/>
        <v>-0.91604077696063835</v>
      </c>
      <c r="E964" s="360">
        <f t="shared" ca="1" si="415"/>
        <v>-2.3388614158342378</v>
      </c>
      <c r="F964" s="357">
        <f t="shared" ca="1" si="416"/>
        <v>2.5118525887346146</v>
      </c>
      <c r="G964" s="359">
        <f t="shared" ca="1" si="417"/>
        <v>20.573488066146975</v>
      </c>
      <c r="H964" s="360">
        <f t="shared" ca="1" si="418"/>
        <v>-167.79632850827937</v>
      </c>
      <c r="I964" s="357">
        <f t="shared" ca="1" si="419"/>
        <v>169.05288010580094</v>
      </c>
      <c r="J964" s="359">
        <f t="shared" ca="1" si="420"/>
        <v>1741.4112148507097</v>
      </c>
      <c r="K964" s="360">
        <f t="shared" ca="1" si="421"/>
        <v>-16.288959440866144</v>
      </c>
      <c r="L964" s="357">
        <f t="shared" ref="L964:L1004" ca="1" si="435">SQRT(pos_x^2+pos_z^2)</f>
        <v>1741.4873957073278</v>
      </c>
      <c r="M964" s="359">
        <f t="shared" ca="1" si="422"/>
        <v>-1.4487953671749179</v>
      </c>
      <c r="N964" s="357">
        <f t="shared" ca="1" si="423"/>
        <v>-83.009859917229235</v>
      </c>
      <c r="O964" s="343"/>
      <c r="P964" s="363">
        <f t="shared" ca="1" si="424"/>
        <v>23</v>
      </c>
      <c r="Q964" s="357">
        <f t="shared" ca="1" si="425"/>
        <v>0</v>
      </c>
      <c r="R964" s="359">
        <f t="shared" ca="1" si="426"/>
        <v>0</v>
      </c>
      <c r="S964" s="360">
        <f t="shared" ca="1" si="427"/>
        <v>10.637999999999975</v>
      </c>
      <c r="T964" s="357">
        <f t="shared" ref="T964:T1004" ca="1" si="436">m*g</f>
        <v>104.35877999999975</v>
      </c>
      <c r="U964" s="364">
        <f t="shared" ref="U964:U1004" ca="1" si="437">IF(pos_xz&lt;L_rampe,Poids*COS(Beta),0)</f>
        <v>0</v>
      </c>
      <c r="V964" s="359">
        <f t="shared" ref="V964:V1004" ca="1" si="438">Rho_moyen*(20000-Alt_rampe-pos_z)/(20000+Alt_rampe+pos_z)</f>
        <v>1.2269970240036561</v>
      </c>
      <c r="W964" s="357">
        <f t="shared" ref="W964:W1003" ca="1" si="439">1/2*Rho*Sref*Cx*vit_xz^2</f>
        <v>80.073497868052385</v>
      </c>
      <c r="X964" s="343"/>
      <c r="Y964" s="367" t="str">
        <f t="shared" ca="1" si="428"/>
        <v/>
      </c>
      <c r="Z964" s="368" t="str">
        <f t="shared" ca="1" si="429"/>
        <v/>
      </c>
      <c r="AA964" s="369" t="str">
        <f t="shared" ca="1" si="430"/>
        <v/>
      </c>
      <c r="AB964" s="344"/>
      <c r="AC964" s="363" t="e">
        <f t="shared" ca="1" si="431"/>
        <v>#N/A</v>
      </c>
      <c r="AD964" s="376" t="e">
        <f t="shared" ca="1" si="432"/>
        <v>#N/A</v>
      </c>
      <c r="AE964" s="377" t="e">
        <f t="shared" ref="AE964:AE1004" ca="1" si="440">IF(t&lt;T_para, pos_z, NA())</f>
        <v>#N/A</v>
      </c>
      <c r="AF964" s="344"/>
      <c r="AG964" s="359">
        <f t="shared" ca="1" si="433"/>
        <v>2.2099952494603388</v>
      </c>
      <c r="AH964" s="357">
        <f t="shared" ca="1" si="434"/>
        <v>-7.5270872486550227</v>
      </c>
    </row>
    <row r="965" spans="1:34" x14ac:dyDescent="0.25">
      <c r="A965" s="402">
        <f t="shared" ref="A965:A1004" ca="1" si="441">IF(B964+0.01&lt;=T_ini+ROUNDUP(Temps_fin_propu,0), 0.01, IF(K964&gt;0, 0.1, 0.0001))</f>
        <v>1E-4</v>
      </c>
      <c r="B965" s="357">
        <f t="shared" ref="B965:B1004" ca="1" si="442">B964+pas</f>
        <v>47.403700000000462</v>
      </c>
      <c r="C965" s="342"/>
      <c r="D965" s="359">
        <f t="shared" ref="D965:D1004" ca="1" si="443">IF(AND(L964&lt;L_rampe,Poussee&lt;Poids*SIN(M964)),0,(-W964+Poussee)/m*COS(M964)-U964/m*SIN(M964))</f>
        <v>-0.91603943287739409</v>
      </c>
      <c r="E965" s="360">
        <f t="shared" ref="E965:E1004" ca="1" si="444">IF(AND(L964&lt;L_rampe,Poussee&lt;Poids*SIN(M964)),0,(-W964+Poussee)/m*SIN(M964)+U964/m*COS(M964)-Poids/m)</f>
        <v>-2.3388286987875935</v>
      </c>
      <c r="F965" s="357">
        <f t="shared" ref="F965:F1004" ca="1" si="445">SQRT(acc_x^2+acc_z^2)</f>
        <v>2.5118216347620717</v>
      </c>
      <c r="G965" s="359">
        <f t="shared" ref="G965:G1004" ca="1" si="446">G964+acc_x*pas</f>
        <v>20.573396462203686</v>
      </c>
      <c r="H965" s="360">
        <f t="shared" ref="H965:H1004" ca="1" si="447">H964+acc_z*pas</f>
        <v>-167.79656239114925</v>
      </c>
      <c r="I965" s="357">
        <f t="shared" ref="I965:I1004" ca="1" si="448">SQRT(vit_x^2+vit_z^2)</f>
        <v>169.05310110222132</v>
      </c>
      <c r="J965" s="359">
        <f t="shared" ref="J965:J1004" ca="1" si="449">J964+0.5*(vit_x+G964)*pas*(K964&gt;=0)</f>
        <v>1741.4112148507097</v>
      </c>
      <c r="K965" s="360">
        <f t="shared" ref="K965:K1004" ca="1" si="450">K964+0.5*(vit_z+H964)*pas</f>
        <v>-16.305739085411115</v>
      </c>
      <c r="L965" s="357">
        <f t="shared" ca="1" si="435"/>
        <v>1741.4875527361503</v>
      </c>
      <c r="M965" s="359">
        <f t="shared" ref="M965:M1004" ca="1" si="451">IF(AND(L964&gt;L_rampe,G965&gt;0),ATAN2(G965,H965),$M$4)</f>
        <v>-1.4487960733806209</v>
      </c>
      <c r="N965" s="357">
        <f t="shared" ref="N965:N1004" ca="1" si="452">DEGREES(Beta)</f>
        <v>-83.009900379835486</v>
      </c>
      <c r="O965" s="343"/>
      <c r="P965" s="363">
        <f t="shared" ref="P965:P1004" ca="1" si="453">MATCH(t-pas/2-T_ini,CdP_t)</f>
        <v>23</v>
      </c>
      <c r="Q965" s="357">
        <f t="shared" ref="Q965:Q1004" ca="1" si="454">(INDEX(CdP,2,i_P+1)-INDEX(CdP,2,i_P+0))/(INDEX(CdP,1,i_P+1)-INDEX(CdP,1,i_P+0))*(t-pas/2-T_ini-INDEX(CdP,1,i_P+0))+INDEX(CdP,2,i_P+0)</f>
        <v>0</v>
      </c>
      <c r="R965" s="359">
        <f t="shared" ref="R965:R1004" ca="1" si="455">Poussee/(g*ISP)</f>
        <v>0</v>
      </c>
      <c r="S965" s="360">
        <f t="shared" ref="S965:S1004" ca="1" si="456">S964-Débit*pas</f>
        <v>10.637999999999975</v>
      </c>
      <c r="T965" s="357">
        <f t="shared" ca="1" si="436"/>
        <v>104.35877999999975</v>
      </c>
      <c r="U965" s="364">
        <f t="shared" ca="1" si="437"/>
        <v>0</v>
      </c>
      <c r="V965" s="359">
        <f t="shared" ca="1" si="438"/>
        <v>1.2269990828641426</v>
      </c>
      <c r="W965" s="357">
        <f t="shared" ca="1" si="439"/>
        <v>80.073841583321055</v>
      </c>
      <c r="X965" s="343"/>
      <c r="Y965" s="367" t="str">
        <f t="shared" ref="Y965:Y1003" ca="1" si="457">IF(AND(pos_z&lt;=0,K964&gt;0),"Impact balistique","") &amp; IF(AND(H966&lt;0,vit_z&gt;=0),"Apogée","") &amp; IF(AND(Poussee=0,Q964&gt;0),"Fin de propulsion","") &amp; IF(AND(L966&gt;L_rampe,pos_xz&lt;=L_rampe),"Sortie de rampe","")</f>
        <v/>
      </c>
      <c r="Z965" s="368" t="str">
        <f t="shared" ref="Z965:Z1004" ca="1" si="458">IF(ABS(t-T_para)&lt;pas/2,"Para","")</f>
        <v/>
      </c>
      <c r="AA965" s="369" t="str">
        <f t="shared" ref="AA965:AA1004" ca="1" si="459">IF(ABS(t-T_satellite)&lt;pas/2,"Satellite","")</f>
        <v/>
      </c>
      <c r="AB965" s="344"/>
      <c r="AC965" s="363" t="e">
        <f t="shared" ref="AC965:AC1004" ca="1" si="460">IF(ABS(t-ROUND(t,0))&lt;0.001,t,NA())</f>
        <v>#N/A</v>
      </c>
      <c r="AD965" s="376" t="e">
        <f t="shared" ref="AD965:AD1004" ca="1" si="461">IF(ABS(t-ROUND(t,0))&lt;0.001,pos_x,NA())</f>
        <v>#N/A</v>
      </c>
      <c r="AE965" s="377" t="e">
        <f t="shared" ca="1" si="440"/>
        <v>#N/A</v>
      </c>
      <c r="AF965" s="344"/>
      <c r="AG965" s="359">
        <f t="shared" ref="AG965:AG1004" ca="1" si="462">IF(AND(L964&lt;L_rampe,Poussee&lt;Poids*SIN(M964)),0,(-W964+Poussee)/m-Poids*SIN(M964)/m)</f>
        <v>2.2099637822917604</v>
      </c>
      <c r="AH965" s="357">
        <f t="shared" ref="AH965:AH1004" ca="1" si="463">IF(AND(L964&lt;L_rampe,Poussee&lt;Poids*SIN(M964)), g*SIN(M964), (-W964+Poussee)/m)</f>
        <v>-7.5271195589445927</v>
      </c>
    </row>
    <row r="966" spans="1:34" x14ac:dyDescent="0.25">
      <c r="A966" s="402">
        <f t="shared" ca="1" si="441"/>
        <v>1E-4</v>
      </c>
      <c r="B966" s="357">
        <f t="shared" ca="1" si="442"/>
        <v>47.403800000000466</v>
      </c>
      <c r="C966" s="342"/>
      <c r="D966" s="359">
        <f t="shared" ca="1" si="443"/>
        <v>-0.91603808876747461</v>
      </c>
      <c r="E966" s="360">
        <f t="shared" ca="1" si="444"/>
        <v>-2.3387959818922104</v>
      </c>
      <c r="F966" s="357">
        <f t="shared" ca="1" si="445"/>
        <v>2.5117906809660546</v>
      </c>
      <c r="G966" s="359">
        <f t="shared" ca="1" si="446"/>
        <v>20.57330485839481</v>
      </c>
      <c r="H966" s="360">
        <f t="shared" ca="1" si="447"/>
        <v>-167.79679627074745</v>
      </c>
      <c r="I966" s="357">
        <f t="shared" ca="1" si="448"/>
        <v>169.05332209549499</v>
      </c>
      <c r="J966" s="359">
        <f t="shared" ca="1" si="449"/>
        <v>1741.4112148507097</v>
      </c>
      <c r="K966" s="360">
        <f t="shared" ca="1" si="450"/>
        <v>-16.322518753344209</v>
      </c>
      <c r="L966" s="357">
        <f t="shared" ca="1" si="435"/>
        <v>1741.4877099268538</v>
      </c>
      <c r="M966" s="359">
        <f t="shared" ca="1" si="451"/>
        <v>-1.448796779581333</v>
      </c>
      <c r="N966" s="357">
        <f t="shared" ca="1" si="452"/>
        <v>-83.009940842155785</v>
      </c>
      <c r="O966" s="343"/>
      <c r="P966" s="363">
        <f t="shared" ca="1" si="453"/>
        <v>23</v>
      </c>
      <c r="Q966" s="357">
        <f t="shared" ca="1" si="454"/>
        <v>0</v>
      </c>
      <c r="R966" s="359">
        <f t="shared" ca="1" si="455"/>
        <v>0</v>
      </c>
      <c r="S966" s="360">
        <f t="shared" ca="1" si="456"/>
        <v>10.637999999999975</v>
      </c>
      <c r="T966" s="357">
        <f t="shared" ca="1" si="436"/>
        <v>104.35877999999975</v>
      </c>
      <c r="U966" s="364">
        <f t="shared" ca="1" si="437"/>
        <v>0</v>
      </c>
      <c r="V966" s="359">
        <f t="shared" ca="1" si="438"/>
        <v>1.2270011417309561</v>
      </c>
      <c r="W966" s="357">
        <f t="shared" ca="1" si="439"/>
        <v>80.074185296997911</v>
      </c>
      <c r="X966" s="343"/>
      <c r="Y966" s="367" t="str">
        <f t="shared" ca="1" si="457"/>
        <v/>
      </c>
      <c r="Z966" s="368" t="str">
        <f t="shared" ca="1" si="458"/>
        <v/>
      </c>
      <c r="AA966" s="369" t="str">
        <f t="shared" ca="1" si="459"/>
        <v/>
      </c>
      <c r="AB966" s="344"/>
      <c r="AC966" s="363" t="e">
        <f t="shared" ca="1" si="460"/>
        <v>#N/A</v>
      </c>
      <c r="AD966" s="376" t="e">
        <f t="shared" ca="1" si="461"/>
        <v>#N/A</v>
      </c>
      <c r="AE966" s="377" t="e">
        <f t="shared" ca="1" si="440"/>
        <v>#N/A</v>
      </c>
      <c r="AF966" s="344"/>
      <c r="AG966" s="359">
        <f t="shared" ca="1" si="462"/>
        <v>2.209932315261999</v>
      </c>
      <c r="AH966" s="357">
        <f t="shared" ca="1" si="463"/>
        <v>-7.5271518690845314</v>
      </c>
    </row>
    <row r="967" spans="1:34" x14ac:dyDescent="0.25">
      <c r="A967" s="402">
        <f t="shared" ca="1" si="441"/>
        <v>1E-4</v>
      </c>
      <c r="B967" s="357">
        <f t="shared" ca="1" si="442"/>
        <v>47.403900000000469</v>
      </c>
      <c r="C967" s="342"/>
      <c r="D967" s="359">
        <f t="shared" ca="1" si="443"/>
        <v>-0.91603674463088036</v>
      </c>
      <c r="E967" s="360">
        <f t="shared" ca="1" si="444"/>
        <v>-2.3387632651480947</v>
      </c>
      <c r="F967" s="357">
        <f t="shared" ca="1" si="445"/>
        <v>2.5117597273465706</v>
      </c>
      <c r="G967" s="359">
        <f t="shared" ca="1" si="446"/>
        <v>20.573213254720347</v>
      </c>
      <c r="H967" s="360">
        <f t="shared" ca="1" si="447"/>
        <v>-167.79703014707397</v>
      </c>
      <c r="I967" s="357">
        <f t="shared" ca="1" si="448"/>
        <v>169.05354308562201</v>
      </c>
      <c r="J967" s="359">
        <f t="shared" ca="1" si="449"/>
        <v>1741.4112148507097</v>
      </c>
      <c r="K967" s="360">
        <f t="shared" ca="1" si="450"/>
        <v>-16.339298444665101</v>
      </c>
      <c r="L967" s="357">
        <f t="shared" ca="1" si="435"/>
        <v>1741.4878672794389</v>
      </c>
      <c r="M967" s="359">
        <f t="shared" ca="1" si="451"/>
        <v>-1.4487974857770547</v>
      </c>
      <c r="N967" s="357">
        <f t="shared" ca="1" si="452"/>
        <v>-83.009981304190148</v>
      </c>
      <c r="O967" s="343"/>
      <c r="P967" s="363">
        <f t="shared" ca="1" si="453"/>
        <v>23</v>
      </c>
      <c r="Q967" s="357">
        <f t="shared" ca="1" si="454"/>
        <v>0</v>
      </c>
      <c r="R967" s="359">
        <f t="shared" ca="1" si="455"/>
        <v>0</v>
      </c>
      <c r="S967" s="360">
        <f t="shared" ca="1" si="456"/>
        <v>10.637999999999975</v>
      </c>
      <c r="T967" s="357">
        <f t="shared" ca="1" si="436"/>
        <v>104.35877999999975</v>
      </c>
      <c r="U967" s="364">
        <f t="shared" ca="1" si="437"/>
        <v>0</v>
      </c>
      <c r="V967" s="359">
        <f t="shared" ca="1" si="438"/>
        <v>1.2270032006040974</v>
      </c>
      <c r="W967" s="357">
        <f t="shared" ca="1" si="439"/>
        <v>80.074529009083079</v>
      </c>
      <c r="X967" s="343"/>
      <c r="Y967" s="367" t="str">
        <f t="shared" ca="1" si="457"/>
        <v/>
      </c>
      <c r="Z967" s="368" t="str">
        <f t="shared" ca="1" si="458"/>
        <v/>
      </c>
      <c r="AA967" s="369" t="str">
        <f t="shared" ca="1" si="459"/>
        <v/>
      </c>
      <c r="AB967" s="344"/>
      <c r="AC967" s="363" t="e">
        <f t="shared" ca="1" si="460"/>
        <v>#N/A</v>
      </c>
      <c r="AD967" s="376" t="e">
        <f t="shared" ca="1" si="461"/>
        <v>#N/A</v>
      </c>
      <c r="AE967" s="377" t="e">
        <f t="shared" ca="1" si="440"/>
        <v>#N/A</v>
      </c>
      <c r="AF967" s="344"/>
      <c r="AG967" s="359">
        <f t="shared" ca="1" si="462"/>
        <v>2.2099008483710598</v>
      </c>
      <c r="AH967" s="357">
        <f t="shared" ca="1" si="463"/>
        <v>-7.5271841790748351</v>
      </c>
    </row>
    <row r="968" spans="1:34" x14ac:dyDescent="0.25">
      <c r="A968" s="402">
        <f t="shared" ca="1" si="441"/>
        <v>1E-4</v>
      </c>
      <c r="B968" s="357">
        <f t="shared" ca="1" si="442"/>
        <v>47.404000000000472</v>
      </c>
      <c r="C968" s="342"/>
      <c r="D968" s="359">
        <f t="shared" ca="1" si="443"/>
        <v>-0.91603540046761034</v>
      </c>
      <c r="E968" s="360">
        <f t="shared" ca="1" si="444"/>
        <v>-2.3387305485552341</v>
      </c>
      <c r="F968" s="357">
        <f t="shared" ca="1" si="445"/>
        <v>2.511728773903608</v>
      </c>
      <c r="G968" s="359">
        <f t="shared" ca="1" si="446"/>
        <v>20.573121651180301</v>
      </c>
      <c r="H968" s="360">
        <f t="shared" ca="1" si="447"/>
        <v>-167.79726402012884</v>
      </c>
      <c r="I968" s="357">
        <f t="shared" ca="1" si="448"/>
        <v>169.05376407260232</v>
      </c>
      <c r="J968" s="359">
        <f t="shared" ca="1" si="449"/>
        <v>1741.4112148507097</v>
      </c>
      <c r="K968" s="360">
        <f t="shared" ca="1" si="450"/>
        <v>-16.35607815937346</v>
      </c>
      <c r="L968" s="357">
        <f t="shared" ca="1" si="435"/>
        <v>1741.4880247939059</v>
      </c>
      <c r="M968" s="359">
        <f t="shared" ca="1" si="451"/>
        <v>-1.4487981919677855</v>
      </c>
      <c r="N968" s="357">
        <f t="shared" ca="1" si="452"/>
        <v>-83.010021765938546</v>
      </c>
      <c r="O968" s="343"/>
      <c r="P968" s="363">
        <f t="shared" ca="1" si="453"/>
        <v>23</v>
      </c>
      <c r="Q968" s="357">
        <f t="shared" ca="1" si="454"/>
        <v>0</v>
      </c>
      <c r="R968" s="359">
        <f t="shared" ca="1" si="455"/>
        <v>0</v>
      </c>
      <c r="S968" s="360">
        <f t="shared" ca="1" si="456"/>
        <v>10.637999999999975</v>
      </c>
      <c r="T968" s="357">
        <f t="shared" ca="1" si="436"/>
        <v>104.35877999999975</v>
      </c>
      <c r="U968" s="364">
        <f t="shared" ca="1" si="437"/>
        <v>0</v>
      </c>
      <c r="V968" s="359">
        <f t="shared" ca="1" si="438"/>
        <v>1.2270052594835654</v>
      </c>
      <c r="W968" s="357">
        <f t="shared" ca="1" si="439"/>
        <v>80.074872719576376</v>
      </c>
      <c r="X968" s="343"/>
      <c r="Y968" s="367" t="str">
        <f t="shared" ca="1" si="457"/>
        <v/>
      </c>
      <c r="Z968" s="368" t="str">
        <f t="shared" ca="1" si="458"/>
        <v/>
      </c>
      <c r="AA968" s="369" t="str">
        <f t="shared" ca="1" si="459"/>
        <v/>
      </c>
      <c r="AB968" s="344"/>
      <c r="AC968" s="363" t="e">
        <f t="shared" ca="1" si="460"/>
        <v>#N/A</v>
      </c>
      <c r="AD968" s="376" t="e">
        <f t="shared" ca="1" si="461"/>
        <v>#N/A</v>
      </c>
      <c r="AE968" s="377" t="e">
        <f t="shared" ca="1" si="440"/>
        <v>#N/A</v>
      </c>
      <c r="AF968" s="344"/>
      <c r="AG968" s="359">
        <f t="shared" ca="1" si="462"/>
        <v>2.2098693816189261</v>
      </c>
      <c r="AH968" s="357">
        <f t="shared" ca="1" si="463"/>
        <v>-7.5272164889155171</v>
      </c>
    </row>
    <row r="969" spans="1:34" x14ac:dyDescent="0.25">
      <c r="A969" s="402">
        <f t="shared" ca="1" si="441"/>
        <v>1E-4</v>
      </c>
      <c r="B969" s="357">
        <f t="shared" ca="1" si="442"/>
        <v>47.404100000000476</v>
      </c>
      <c r="C969" s="342"/>
      <c r="D969" s="359">
        <f t="shared" ca="1" si="443"/>
        <v>-0.91603405627766621</v>
      </c>
      <c r="E969" s="360">
        <f t="shared" ca="1" si="444"/>
        <v>-2.3386978321136453</v>
      </c>
      <c r="F969" s="357">
        <f t="shared" ca="1" si="445"/>
        <v>2.5116978206371838</v>
      </c>
      <c r="G969" s="359">
        <f t="shared" ca="1" si="446"/>
        <v>20.573030047774672</v>
      </c>
      <c r="H969" s="360">
        <f t="shared" ca="1" si="447"/>
        <v>-167.79749788991205</v>
      </c>
      <c r="I969" s="357">
        <f t="shared" ca="1" si="448"/>
        <v>169.05398505643598</v>
      </c>
      <c r="J969" s="359">
        <f t="shared" ca="1" si="449"/>
        <v>1741.4112148507097</v>
      </c>
      <c r="K969" s="360">
        <f t="shared" ca="1" si="450"/>
        <v>-16.372857897468961</v>
      </c>
      <c r="L969" s="357">
        <f t="shared" ca="1" si="435"/>
        <v>1741.4881824702559</v>
      </c>
      <c r="M969" s="359">
        <f t="shared" ca="1" si="451"/>
        <v>-1.4487988981535258</v>
      </c>
      <c r="N969" s="357">
        <f t="shared" ca="1" si="452"/>
        <v>-83.010062227401022</v>
      </c>
      <c r="O969" s="343"/>
      <c r="P969" s="363">
        <f t="shared" ca="1" si="453"/>
        <v>23</v>
      </c>
      <c r="Q969" s="357">
        <f t="shared" ca="1" si="454"/>
        <v>0</v>
      </c>
      <c r="R969" s="359">
        <f t="shared" ca="1" si="455"/>
        <v>0</v>
      </c>
      <c r="S969" s="360">
        <f t="shared" ca="1" si="456"/>
        <v>10.637999999999975</v>
      </c>
      <c r="T969" s="357">
        <f t="shared" ca="1" si="436"/>
        <v>104.35877999999975</v>
      </c>
      <c r="U969" s="364">
        <f t="shared" ca="1" si="437"/>
        <v>0</v>
      </c>
      <c r="V969" s="359">
        <f t="shared" ca="1" si="438"/>
        <v>1.2270073183693611</v>
      </c>
      <c r="W969" s="357">
        <f t="shared" ca="1" si="439"/>
        <v>80.075216428477901</v>
      </c>
      <c r="X969" s="343"/>
      <c r="Y969" s="367" t="str">
        <f t="shared" ca="1" si="457"/>
        <v/>
      </c>
      <c r="Z969" s="368" t="str">
        <f t="shared" ca="1" si="458"/>
        <v/>
      </c>
      <c r="AA969" s="369" t="str">
        <f t="shared" ca="1" si="459"/>
        <v/>
      </c>
      <c r="AB969" s="344"/>
      <c r="AC969" s="363" t="e">
        <f t="shared" ca="1" si="460"/>
        <v>#N/A</v>
      </c>
      <c r="AD969" s="376" t="e">
        <f t="shared" ca="1" si="461"/>
        <v>#N/A</v>
      </c>
      <c r="AE969" s="377" t="e">
        <f t="shared" ca="1" si="440"/>
        <v>#N/A</v>
      </c>
      <c r="AF969" s="344"/>
      <c r="AG969" s="359">
        <f t="shared" ca="1" si="462"/>
        <v>2.2098379150056209</v>
      </c>
      <c r="AH969" s="357">
        <f t="shared" ca="1" si="463"/>
        <v>-7.5272487986065579</v>
      </c>
    </row>
    <row r="970" spans="1:34" x14ac:dyDescent="0.25">
      <c r="A970" s="402">
        <f t="shared" ca="1" si="441"/>
        <v>1E-4</v>
      </c>
      <c r="B970" s="357">
        <f t="shared" ca="1" si="442"/>
        <v>47.404200000000479</v>
      </c>
      <c r="C970" s="342"/>
      <c r="D970" s="359">
        <f t="shared" ca="1" si="443"/>
        <v>-0.91603271206104697</v>
      </c>
      <c r="E970" s="360">
        <f t="shared" ca="1" si="444"/>
        <v>-2.3386651158233187</v>
      </c>
      <c r="F970" s="357">
        <f t="shared" ca="1" si="445"/>
        <v>2.5116668675472895</v>
      </c>
      <c r="G970" s="359">
        <f t="shared" ca="1" si="446"/>
        <v>20.572938444503468</v>
      </c>
      <c r="H970" s="360">
        <f t="shared" ca="1" si="447"/>
        <v>-167.79773175642364</v>
      </c>
      <c r="I970" s="357">
        <f t="shared" ca="1" si="448"/>
        <v>169.05420603712298</v>
      </c>
      <c r="J970" s="359">
        <f t="shared" ca="1" si="449"/>
        <v>1741.4112148507097</v>
      </c>
      <c r="K970" s="360">
        <f t="shared" ca="1" si="450"/>
        <v>-16.389637658951276</v>
      </c>
      <c r="L970" s="357">
        <f t="shared" ca="1" si="435"/>
        <v>1741.4883403084891</v>
      </c>
      <c r="M970" s="359">
        <f t="shared" ca="1" si="451"/>
        <v>-1.4487996043342755</v>
      </c>
      <c r="N970" s="357">
        <f t="shared" ca="1" si="452"/>
        <v>-83.010102688577561</v>
      </c>
      <c r="O970" s="343"/>
      <c r="P970" s="363">
        <f t="shared" ca="1" si="453"/>
        <v>23</v>
      </c>
      <c r="Q970" s="357">
        <f t="shared" ca="1" si="454"/>
        <v>0</v>
      </c>
      <c r="R970" s="359">
        <f t="shared" ca="1" si="455"/>
        <v>0</v>
      </c>
      <c r="S970" s="360">
        <f t="shared" ca="1" si="456"/>
        <v>10.637999999999975</v>
      </c>
      <c r="T970" s="357">
        <f t="shared" ca="1" si="436"/>
        <v>104.35877999999975</v>
      </c>
      <c r="U970" s="364">
        <f t="shared" ca="1" si="437"/>
        <v>0</v>
      </c>
      <c r="V970" s="359">
        <f t="shared" ca="1" si="438"/>
        <v>1.2270093772614834</v>
      </c>
      <c r="W970" s="357">
        <f t="shared" ca="1" si="439"/>
        <v>80.075560135787583</v>
      </c>
      <c r="X970" s="343"/>
      <c r="Y970" s="367" t="str">
        <f t="shared" ca="1" si="457"/>
        <v/>
      </c>
      <c r="Z970" s="368" t="str">
        <f t="shared" ca="1" si="458"/>
        <v/>
      </c>
      <c r="AA970" s="369" t="str">
        <f t="shared" ca="1" si="459"/>
        <v/>
      </c>
      <c r="AB970" s="344"/>
      <c r="AC970" s="363" t="e">
        <f t="shared" ca="1" si="460"/>
        <v>#N/A</v>
      </c>
      <c r="AD970" s="376" t="e">
        <f t="shared" ca="1" si="461"/>
        <v>#N/A</v>
      </c>
      <c r="AE970" s="377" t="e">
        <f t="shared" ca="1" si="440"/>
        <v>#N/A</v>
      </c>
      <c r="AF970" s="344"/>
      <c r="AG970" s="359">
        <f t="shared" ca="1" si="462"/>
        <v>2.2098064485311317</v>
      </c>
      <c r="AH970" s="357">
        <f t="shared" ca="1" si="463"/>
        <v>-7.5272811081479682</v>
      </c>
    </row>
    <row r="971" spans="1:34" x14ac:dyDescent="0.25">
      <c r="A971" s="402">
        <f t="shared" ca="1" si="441"/>
        <v>1E-4</v>
      </c>
      <c r="B971" s="357">
        <f t="shared" ca="1" si="442"/>
        <v>47.404300000000482</v>
      </c>
      <c r="C971" s="342"/>
      <c r="D971" s="359">
        <f t="shared" ca="1" si="443"/>
        <v>-0.91603136781775418</v>
      </c>
      <c r="E971" s="360">
        <f t="shared" ca="1" si="444"/>
        <v>-2.3386323996842613</v>
      </c>
      <c r="F971" s="357">
        <f t="shared" ca="1" si="445"/>
        <v>2.5116359146339327</v>
      </c>
      <c r="G971" s="359">
        <f t="shared" ca="1" si="446"/>
        <v>20.572846841366687</v>
      </c>
      <c r="H971" s="360">
        <f t="shared" ca="1" si="447"/>
        <v>-167.79796561966361</v>
      </c>
      <c r="I971" s="357">
        <f t="shared" ca="1" si="448"/>
        <v>169.05442701466336</v>
      </c>
      <c r="J971" s="359">
        <f t="shared" ca="1" si="449"/>
        <v>1741.4112148507097</v>
      </c>
      <c r="K971" s="360">
        <f t="shared" ca="1" si="450"/>
        <v>-16.406417443820082</v>
      </c>
      <c r="L971" s="357">
        <f t="shared" ca="1" si="435"/>
        <v>1741.4884983086065</v>
      </c>
      <c r="M971" s="359">
        <f t="shared" ca="1" si="451"/>
        <v>-1.4488003105100349</v>
      </c>
      <c r="N971" s="357">
        <f t="shared" ca="1" si="452"/>
        <v>-83.010143149468163</v>
      </c>
      <c r="O971" s="343"/>
      <c r="P971" s="363">
        <f t="shared" ca="1" si="453"/>
        <v>23</v>
      </c>
      <c r="Q971" s="357">
        <f t="shared" ca="1" si="454"/>
        <v>0</v>
      </c>
      <c r="R971" s="359">
        <f t="shared" ca="1" si="455"/>
        <v>0</v>
      </c>
      <c r="S971" s="360">
        <f t="shared" ca="1" si="456"/>
        <v>10.637999999999975</v>
      </c>
      <c r="T971" s="357">
        <f t="shared" ca="1" si="436"/>
        <v>104.35877999999975</v>
      </c>
      <c r="U971" s="364">
        <f t="shared" ca="1" si="437"/>
        <v>0</v>
      </c>
      <c r="V971" s="359">
        <f t="shared" ca="1" si="438"/>
        <v>1.2270114361599331</v>
      </c>
      <c r="W971" s="357">
        <f t="shared" ca="1" si="439"/>
        <v>80.075903841505479</v>
      </c>
      <c r="X971" s="343"/>
      <c r="Y971" s="367" t="str">
        <f t="shared" ca="1" si="457"/>
        <v/>
      </c>
      <c r="Z971" s="368" t="str">
        <f t="shared" ca="1" si="458"/>
        <v/>
      </c>
      <c r="AA971" s="369" t="str">
        <f t="shared" ca="1" si="459"/>
        <v/>
      </c>
      <c r="AB971" s="344"/>
      <c r="AC971" s="363" t="e">
        <f t="shared" ca="1" si="460"/>
        <v>#N/A</v>
      </c>
      <c r="AD971" s="376" t="e">
        <f t="shared" ca="1" si="461"/>
        <v>#N/A</v>
      </c>
      <c r="AE971" s="377" t="e">
        <f t="shared" ca="1" si="440"/>
        <v>#N/A</v>
      </c>
      <c r="AF971" s="344"/>
      <c r="AG971" s="359">
        <f t="shared" ca="1" si="462"/>
        <v>2.2097749821954666</v>
      </c>
      <c r="AH971" s="357">
        <f t="shared" ca="1" si="463"/>
        <v>-7.5273134175397418</v>
      </c>
    </row>
    <row r="972" spans="1:34" x14ac:dyDescent="0.25">
      <c r="A972" s="402">
        <f t="shared" ca="1" si="441"/>
        <v>1E-4</v>
      </c>
      <c r="B972" s="357">
        <f t="shared" ca="1" si="442"/>
        <v>47.404400000000486</v>
      </c>
      <c r="C972" s="342"/>
      <c r="D972" s="359">
        <f t="shared" ca="1" si="443"/>
        <v>-0.91603002354778584</v>
      </c>
      <c r="E972" s="360">
        <f t="shared" ca="1" si="444"/>
        <v>-2.3385996836964695</v>
      </c>
      <c r="F972" s="357">
        <f t="shared" ca="1" si="445"/>
        <v>2.5116049618971101</v>
      </c>
      <c r="G972" s="359">
        <f t="shared" ca="1" si="446"/>
        <v>20.572755238364334</v>
      </c>
      <c r="H972" s="360">
        <f t="shared" ca="1" si="447"/>
        <v>-167.79819947963199</v>
      </c>
      <c r="I972" s="357">
        <f t="shared" ca="1" si="448"/>
        <v>169.05464798905714</v>
      </c>
      <c r="J972" s="359">
        <f t="shared" ca="1" si="449"/>
        <v>1741.4112148507097</v>
      </c>
      <c r="K972" s="360">
        <f t="shared" ca="1" si="450"/>
        <v>-16.423197252075045</v>
      </c>
      <c r="L972" s="357">
        <f t="shared" ca="1" si="435"/>
        <v>1741.4886564706085</v>
      </c>
      <c r="M972" s="359">
        <f t="shared" ca="1" si="451"/>
        <v>-1.4488010166808036</v>
      </c>
      <c r="N972" s="357">
        <f t="shared" ca="1" si="452"/>
        <v>-83.010183610072829</v>
      </c>
      <c r="O972" s="343"/>
      <c r="P972" s="363">
        <f t="shared" ca="1" si="453"/>
        <v>23</v>
      </c>
      <c r="Q972" s="357">
        <f t="shared" ca="1" si="454"/>
        <v>0</v>
      </c>
      <c r="R972" s="359">
        <f t="shared" ca="1" si="455"/>
        <v>0</v>
      </c>
      <c r="S972" s="360">
        <f t="shared" ca="1" si="456"/>
        <v>10.637999999999975</v>
      </c>
      <c r="T972" s="357">
        <f t="shared" ca="1" si="436"/>
        <v>104.35877999999975</v>
      </c>
      <c r="U972" s="364">
        <f t="shared" ca="1" si="437"/>
        <v>0</v>
      </c>
      <c r="V972" s="359">
        <f t="shared" ca="1" si="438"/>
        <v>1.22701349506471</v>
      </c>
      <c r="W972" s="357">
        <f t="shared" ca="1" si="439"/>
        <v>80.076247545631546</v>
      </c>
      <c r="X972" s="343"/>
      <c r="Y972" s="367" t="str">
        <f t="shared" ca="1" si="457"/>
        <v/>
      </c>
      <c r="Z972" s="368" t="str">
        <f t="shared" ca="1" si="458"/>
        <v/>
      </c>
      <c r="AA972" s="369" t="str">
        <f t="shared" ca="1" si="459"/>
        <v/>
      </c>
      <c r="AB972" s="344"/>
      <c r="AC972" s="363" t="e">
        <f t="shared" ca="1" si="460"/>
        <v>#N/A</v>
      </c>
      <c r="AD972" s="376" t="e">
        <f t="shared" ca="1" si="461"/>
        <v>#N/A</v>
      </c>
      <c r="AE972" s="377" t="e">
        <f t="shared" ca="1" si="440"/>
        <v>#N/A</v>
      </c>
      <c r="AF972" s="344"/>
      <c r="AG972" s="359">
        <f t="shared" ca="1" si="462"/>
        <v>2.2097435159986185</v>
      </c>
      <c r="AH972" s="357">
        <f t="shared" ca="1" si="463"/>
        <v>-7.5273457267818822</v>
      </c>
    </row>
    <row r="973" spans="1:34" x14ac:dyDescent="0.25">
      <c r="A973" s="402">
        <f t="shared" ca="1" si="441"/>
        <v>1E-4</v>
      </c>
      <c r="B973" s="357">
        <f t="shared" ca="1" si="442"/>
        <v>47.404500000000489</v>
      </c>
      <c r="C973" s="342"/>
      <c r="D973" s="359">
        <f t="shared" ca="1" si="443"/>
        <v>-0.91602867925114584</v>
      </c>
      <c r="E973" s="360">
        <f t="shared" ca="1" si="444"/>
        <v>-2.3385669678599443</v>
      </c>
      <c r="F973" s="357">
        <f t="shared" ca="1" si="445"/>
        <v>2.5115740093368246</v>
      </c>
      <c r="G973" s="359">
        <f t="shared" ca="1" si="446"/>
        <v>20.572663635496408</v>
      </c>
      <c r="H973" s="360">
        <f t="shared" ca="1" si="447"/>
        <v>-167.79843333632877</v>
      </c>
      <c r="I973" s="357">
        <f t="shared" ca="1" si="448"/>
        <v>169.05486896030425</v>
      </c>
      <c r="J973" s="359">
        <f t="shared" ca="1" si="449"/>
        <v>1741.4112148507097</v>
      </c>
      <c r="K973" s="360">
        <f t="shared" ca="1" si="450"/>
        <v>-16.439977083715842</v>
      </c>
      <c r="L973" s="357">
        <f t="shared" ca="1" si="435"/>
        <v>1741.4888147944957</v>
      </c>
      <c r="M973" s="359">
        <f t="shared" ca="1" si="451"/>
        <v>-1.4488017228465819</v>
      </c>
      <c r="N973" s="357">
        <f t="shared" ca="1" si="452"/>
        <v>-83.010224070391558</v>
      </c>
      <c r="O973" s="343"/>
      <c r="P973" s="363">
        <f t="shared" ca="1" si="453"/>
        <v>23</v>
      </c>
      <c r="Q973" s="357">
        <f t="shared" ca="1" si="454"/>
        <v>0</v>
      </c>
      <c r="R973" s="359">
        <f t="shared" ca="1" si="455"/>
        <v>0</v>
      </c>
      <c r="S973" s="360">
        <f t="shared" ca="1" si="456"/>
        <v>10.637999999999975</v>
      </c>
      <c r="T973" s="357">
        <f t="shared" ca="1" si="436"/>
        <v>104.35877999999975</v>
      </c>
      <c r="U973" s="364">
        <f t="shared" ca="1" si="437"/>
        <v>0</v>
      </c>
      <c r="V973" s="359">
        <f t="shared" ca="1" si="438"/>
        <v>1.2270155539758139</v>
      </c>
      <c r="W973" s="357">
        <f t="shared" ca="1" si="439"/>
        <v>80.076591248165712</v>
      </c>
      <c r="X973" s="343"/>
      <c r="Y973" s="367" t="str">
        <f t="shared" ca="1" si="457"/>
        <v/>
      </c>
      <c r="Z973" s="368" t="str">
        <f t="shared" ca="1" si="458"/>
        <v/>
      </c>
      <c r="AA973" s="369" t="str">
        <f t="shared" ca="1" si="459"/>
        <v/>
      </c>
      <c r="AB973" s="344"/>
      <c r="AC973" s="363" t="e">
        <f t="shared" ca="1" si="460"/>
        <v>#N/A</v>
      </c>
      <c r="AD973" s="376" t="e">
        <f t="shared" ca="1" si="461"/>
        <v>#N/A</v>
      </c>
      <c r="AE973" s="377" t="e">
        <f t="shared" ca="1" si="440"/>
        <v>#N/A</v>
      </c>
      <c r="AF973" s="344"/>
      <c r="AG973" s="359">
        <f t="shared" ca="1" si="462"/>
        <v>2.2097120499405944</v>
      </c>
      <c r="AH973" s="357">
        <f t="shared" ca="1" si="463"/>
        <v>-7.5273780358743876</v>
      </c>
    </row>
    <row r="974" spans="1:34" x14ac:dyDescent="0.25">
      <c r="A974" s="402">
        <f t="shared" ca="1" si="441"/>
        <v>1E-4</v>
      </c>
      <c r="B974" s="357">
        <f t="shared" ca="1" si="442"/>
        <v>47.404600000000492</v>
      </c>
      <c r="C974" s="342"/>
      <c r="D974" s="359">
        <f t="shared" ca="1" si="443"/>
        <v>-0.91602733492783206</v>
      </c>
      <c r="E974" s="360">
        <f t="shared" ca="1" si="444"/>
        <v>-2.3385342521746946</v>
      </c>
      <c r="F974" s="357">
        <f t="shared" ca="1" si="445"/>
        <v>2.5115430569530846</v>
      </c>
      <c r="G974" s="359">
        <f t="shared" ca="1" si="446"/>
        <v>20.572572032762913</v>
      </c>
      <c r="H974" s="360">
        <f t="shared" ca="1" si="447"/>
        <v>-167.79866718975398</v>
      </c>
      <c r="I974" s="357">
        <f t="shared" ca="1" si="448"/>
        <v>169.05508992840481</v>
      </c>
      <c r="J974" s="359">
        <f t="shared" ca="1" si="449"/>
        <v>1741.4112148507097</v>
      </c>
      <c r="K974" s="360">
        <f t="shared" ca="1" si="450"/>
        <v>-16.456756938742146</v>
      </c>
      <c r="L974" s="357">
        <f t="shared" ca="1" si="435"/>
        <v>1741.488973280269</v>
      </c>
      <c r="M974" s="359">
        <f t="shared" ca="1" si="451"/>
        <v>-1.4488024290073702</v>
      </c>
      <c r="N974" s="357">
        <f t="shared" ca="1" si="452"/>
        <v>-83.010264530424394</v>
      </c>
      <c r="O974" s="343"/>
      <c r="P974" s="363">
        <f t="shared" ca="1" si="453"/>
        <v>23</v>
      </c>
      <c r="Q974" s="357">
        <f t="shared" ca="1" si="454"/>
        <v>0</v>
      </c>
      <c r="R974" s="359">
        <f t="shared" ca="1" si="455"/>
        <v>0</v>
      </c>
      <c r="S974" s="360">
        <f t="shared" ca="1" si="456"/>
        <v>10.637999999999975</v>
      </c>
      <c r="T974" s="357">
        <f t="shared" ca="1" si="436"/>
        <v>104.35877999999975</v>
      </c>
      <c r="U974" s="364">
        <f t="shared" ca="1" si="437"/>
        <v>0</v>
      </c>
      <c r="V974" s="359">
        <f t="shared" ca="1" si="438"/>
        <v>1.2270176128932451</v>
      </c>
      <c r="W974" s="357">
        <f t="shared" ca="1" si="439"/>
        <v>80.076934949108079</v>
      </c>
      <c r="X974" s="343"/>
      <c r="Y974" s="367" t="str">
        <f t="shared" ca="1" si="457"/>
        <v/>
      </c>
      <c r="Z974" s="368" t="str">
        <f t="shared" ca="1" si="458"/>
        <v/>
      </c>
      <c r="AA974" s="369" t="str">
        <f t="shared" ca="1" si="459"/>
        <v/>
      </c>
      <c r="AB974" s="344"/>
      <c r="AC974" s="363" t="e">
        <f t="shared" ca="1" si="460"/>
        <v>#N/A</v>
      </c>
      <c r="AD974" s="376" t="e">
        <f t="shared" ca="1" si="461"/>
        <v>#N/A</v>
      </c>
      <c r="AE974" s="377" t="e">
        <f t="shared" ca="1" si="440"/>
        <v>#N/A</v>
      </c>
      <c r="AF974" s="344"/>
      <c r="AG974" s="359">
        <f t="shared" ca="1" si="462"/>
        <v>2.2096805840213998</v>
      </c>
      <c r="AH974" s="357">
        <f t="shared" ca="1" si="463"/>
        <v>-7.5274103448172491</v>
      </c>
    </row>
    <row r="975" spans="1:34" x14ac:dyDescent="0.25">
      <c r="A975" s="402">
        <f t="shared" ca="1" si="441"/>
        <v>1E-4</v>
      </c>
      <c r="B975" s="357">
        <f t="shared" ca="1" si="442"/>
        <v>47.404700000000496</v>
      </c>
      <c r="C975" s="342"/>
      <c r="D975" s="359">
        <f t="shared" ca="1" si="443"/>
        <v>-0.91602599057784373</v>
      </c>
      <c r="E975" s="360">
        <f t="shared" ca="1" si="444"/>
        <v>-2.3385015366407105</v>
      </c>
      <c r="F975" s="357">
        <f t="shared" ca="1" si="445"/>
        <v>2.5115121047458806</v>
      </c>
      <c r="G975" s="359">
        <f t="shared" ca="1" si="446"/>
        <v>20.572480430163857</v>
      </c>
      <c r="H975" s="360">
        <f t="shared" ca="1" si="447"/>
        <v>-167.79890103990766</v>
      </c>
      <c r="I975" s="357">
        <f t="shared" ca="1" si="448"/>
        <v>169.05531089335881</v>
      </c>
      <c r="J975" s="359">
        <f t="shared" ca="1" si="449"/>
        <v>1741.4112148507097</v>
      </c>
      <c r="K975" s="360">
        <f t="shared" ca="1" si="450"/>
        <v>-16.473536817153629</v>
      </c>
      <c r="L975" s="357">
        <f t="shared" ca="1" si="435"/>
        <v>1741.4891319279286</v>
      </c>
      <c r="M975" s="359">
        <f t="shared" ca="1" si="451"/>
        <v>-1.4488031351631681</v>
      </c>
      <c r="N975" s="357">
        <f t="shared" ca="1" si="452"/>
        <v>-83.010304990171278</v>
      </c>
      <c r="O975" s="343"/>
      <c r="P975" s="363">
        <f t="shared" ca="1" si="453"/>
        <v>23</v>
      </c>
      <c r="Q975" s="357">
        <f t="shared" ca="1" si="454"/>
        <v>0</v>
      </c>
      <c r="R975" s="359">
        <f t="shared" ca="1" si="455"/>
        <v>0</v>
      </c>
      <c r="S975" s="360">
        <f t="shared" ca="1" si="456"/>
        <v>10.637999999999975</v>
      </c>
      <c r="T975" s="357">
        <f t="shared" ca="1" si="436"/>
        <v>104.35877999999975</v>
      </c>
      <c r="U975" s="364">
        <f t="shared" ca="1" si="437"/>
        <v>0</v>
      </c>
      <c r="V975" s="359">
        <f t="shared" ca="1" si="438"/>
        <v>1.2270196718170032</v>
      </c>
      <c r="W975" s="357">
        <f t="shared" ca="1" si="439"/>
        <v>80.077278648458588</v>
      </c>
      <c r="X975" s="343"/>
      <c r="Y975" s="367" t="str">
        <f t="shared" ca="1" si="457"/>
        <v/>
      </c>
      <c r="Z975" s="368" t="str">
        <f t="shared" ca="1" si="458"/>
        <v/>
      </c>
      <c r="AA975" s="369" t="str">
        <f t="shared" ca="1" si="459"/>
        <v/>
      </c>
      <c r="AB975" s="344"/>
      <c r="AC975" s="363" t="e">
        <f t="shared" ca="1" si="460"/>
        <v>#N/A</v>
      </c>
      <c r="AD975" s="376" t="e">
        <f t="shared" ca="1" si="461"/>
        <v>#N/A</v>
      </c>
      <c r="AE975" s="377" t="e">
        <f t="shared" ca="1" si="440"/>
        <v>#N/A</v>
      </c>
      <c r="AF975" s="344"/>
      <c r="AG975" s="359">
        <f t="shared" ca="1" si="462"/>
        <v>2.2096491182410247</v>
      </c>
      <c r="AH975" s="357">
        <f t="shared" ca="1" si="463"/>
        <v>-7.5274426536104784</v>
      </c>
    </row>
    <row r="976" spans="1:34" x14ac:dyDescent="0.25">
      <c r="A976" s="402">
        <f t="shared" ca="1" si="441"/>
        <v>1E-4</v>
      </c>
      <c r="B976" s="357">
        <f t="shared" ca="1" si="442"/>
        <v>47.404800000000499</v>
      </c>
      <c r="C976" s="342"/>
      <c r="D976" s="359">
        <f t="shared" ca="1" si="443"/>
        <v>-0.91602464620118373</v>
      </c>
      <c r="E976" s="360">
        <f t="shared" ca="1" si="444"/>
        <v>-2.3384688212579965</v>
      </c>
      <c r="F976" s="357">
        <f t="shared" ca="1" si="445"/>
        <v>2.5114811527152194</v>
      </c>
      <c r="G976" s="359">
        <f t="shared" ca="1" si="446"/>
        <v>20.572388827699235</v>
      </c>
      <c r="H976" s="360">
        <f t="shared" ca="1" si="447"/>
        <v>-167.7991348867898</v>
      </c>
      <c r="I976" s="357">
        <f t="shared" ca="1" si="448"/>
        <v>169.05553185516621</v>
      </c>
      <c r="J976" s="359">
        <f t="shared" ca="1" si="449"/>
        <v>1741.4112148507097</v>
      </c>
      <c r="K976" s="360">
        <f t="shared" ca="1" si="450"/>
        <v>-16.490316718949963</v>
      </c>
      <c r="L976" s="357">
        <f t="shared" ca="1" si="435"/>
        <v>1741.4892907374756</v>
      </c>
      <c r="M976" s="359">
        <f t="shared" ca="1" si="451"/>
        <v>-1.4488038413139757</v>
      </c>
      <c r="N976" s="357">
        <f t="shared" ca="1" si="452"/>
        <v>-83.010345449632254</v>
      </c>
      <c r="O976" s="343"/>
      <c r="P976" s="363">
        <f t="shared" ca="1" si="453"/>
        <v>23</v>
      </c>
      <c r="Q976" s="357">
        <f t="shared" ca="1" si="454"/>
        <v>0</v>
      </c>
      <c r="R976" s="359">
        <f t="shared" ca="1" si="455"/>
        <v>0</v>
      </c>
      <c r="S976" s="360">
        <f t="shared" ca="1" si="456"/>
        <v>10.637999999999975</v>
      </c>
      <c r="T976" s="357">
        <f t="shared" ca="1" si="436"/>
        <v>104.35877999999975</v>
      </c>
      <c r="U976" s="364">
        <f t="shared" ca="1" si="437"/>
        <v>0</v>
      </c>
      <c r="V976" s="359">
        <f t="shared" ca="1" si="438"/>
        <v>1.2270217307470885</v>
      </c>
      <c r="W976" s="357">
        <f t="shared" ca="1" si="439"/>
        <v>80.077622346217197</v>
      </c>
      <c r="X976" s="343"/>
      <c r="Y976" s="367" t="str">
        <f t="shared" ca="1" si="457"/>
        <v/>
      </c>
      <c r="Z976" s="368" t="str">
        <f t="shared" ca="1" si="458"/>
        <v/>
      </c>
      <c r="AA976" s="369" t="str">
        <f t="shared" ca="1" si="459"/>
        <v/>
      </c>
      <c r="AB976" s="344"/>
      <c r="AC976" s="363" t="e">
        <f t="shared" ca="1" si="460"/>
        <v>#N/A</v>
      </c>
      <c r="AD976" s="376" t="e">
        <f t="shared" ca="1" si="461"/>
        <v>#N/A</v>
      </c>
      <c r="AE976" s="377" t="e">
        <f t="shared" ca="1" si="440"/>
        <v>#N/A</v>
      </c>
      <c r="AF976" s="344"/>
      <c r="AG976" s="359">
        <f t="shared" ca="1" si="462"/>
        <v>2.2096176525994782</v>
      </c>
      <c r="AH976" s="357">
        <f t="shared" ca="1" si="463"/>
        <v>-7.5274749622540682</v>
      </c>
    </row>
    <row r="977" spans="1:34" x14ac:dyDescent="0.25">
      <c r="A977" s="402">
        <f t="shared" ca="1" si="441"/>
        <v>1E-4</v>
      </c>
      <c r="B977" s="357">
        <f t="shared" ca="1" si="442"/>
        <v>47.404900000000502</v>
      </c>
      <c r="C977" s="342"/>
      <c r="D977" s="359">
        <f t="shared" ca="1" si="443"/>
        <v>-0.91602330179785096</v>
      </c>
      <c r="E977" s="360">
        <f t="shared" ca="1" si="444"/>
        <v>-2.3384361060265579</v>
      </c>
      <c r="F977" s="357">
        <f t="shared" ca="1" si="445"/>
        <v>2.5114502008611055</v>
      </c>
      <c r="G977" s="359">
        <f t="shared" ca="1" si="446"/>
        <v>20.572297225369056</v>
      </c>
      <c r="H977" s="360">
        <f t="shared" ca="1" si="447"/>
        <v>-167.7993687304004</v>
      </c>
      <c r="I977" s="357">
        <f t="shared" ca="1" si="448"/>
        <v>169.0557528138271</v>
      </c>
      <c r="J977" s="359">
        <f t="shared" ca="1" si="449"/>
        <v>1741.4112148507097</v>
      </c>
      <c r="K977" s="360">
        <f t="shared" ca="1" si="450"/>
        <v>-16.507096644130822</v>
      </c>
      <c r="L977" s="357">
        <f t="shared" ca="1" si="435"/>
        <v>1741.4894497089103</v>
      </c>
      <c r="M977" s="359">
        <f t="shared" ca="1" si="451"/>
        <v>-1.448804547459793</v>
      </c>
      <c r="N977" s="357">
        <f t="shared" ca="1" si="452"/>
        <v>-83.010385908807322</v>
      </c>
      <c r="O977" s="343"/>
      <c r="P977" s="363">
        <f t="shared" ca="1" si="453"/>
        <v>23</v>
      </c>
      <c r="Q977" s="357">
        <f t="shared" ca="1" si="454"/>
        <v>0</v>
      </c>
      <c r="R977" s="359">
        <f t="shared" ca="1" si="455"/>
        <v>0</v>
      </c>
      <c r="S977" s="360">
        <f t="shared" ca="1" si="456"/>
        <v>10.637999999999975</v>
      </c>
      <c r="T977" s="357">
        <f t="shared" ca="1" si="436"/>
        <v>104.35877999999975</v>
      </c>
      <c r="U977" s="364">
        <f t="shared" ca="1" si="437"/>
        <v>0</v>
      </c>
      <c r="V977" s="359">
        <f t="shared" ca="1" si="438"/>
        <v>1.2270237896835008</v>
      </c>
      <c r="W977" s="357">
        <f t="shared" ca="1" si="439"/>
        <v>80.077966042383949</v>
      </c>
      <c r="X977" s="343"/>
      <c r="Y977" s="367" t="str">
        <f t="shared" ca="1" si="457"/>
        <v/>
      </c>
      <c r="Z977" s="368" t="str">
        <f t="shared" ca="1" si="458"/>
        <v/>
      </c>
      <c r="AA977" s="369" t="str">
        <f t="shared" ca="1" si="459"/>
        <v/>
      </c>
      <c r="AB977" s="344"/>
      <c r="AC977" s="363" t="e">
        <f t="shared" ca="1" si="460"/>
        <v>#N/A</v>
      </c>
      <c r="AD977" s="376" t="e">
        <f t="shared" ca="1" si="461"/>
        <v>#N/A</v>
      </c>
      <c r="AE977" s="377" t="e">
        <f t="shared" ca="1" si="440"/>
        <v>#N/A</v>
      </c>
      <c r="AF977" s="344"/>
      <c r="AG977" s="359">
        <f t="shared" ca="1" si="462"/>
        <v>2.2095861870967601</v>
      </c>
      <c r="AH977" s="357">
        <f t="shared" ca="1" si="463"/>
        <v>-7.5275072707480151</v>
      </c>
    </row>
    <row r="978" spans="1:34" x14ac:dyDescent="0.25">
      <c r="A978" s="402">
        <f t="shared" ca="1" si="441"/>
        <v>1E-4</v>
      </c>
      <c r="B978" s="357">
        <f t="shared" ca="1" si="442"/>
        <v>47.405000000000506</v>
      </c>
      <c r="C978" s="342"/>
      <c r="D978" s="359">
        <f t="shared" ca="1" si="443"/>
        <v>-0.91602195736784697</v>
      </c>
      <c r="E978" s="360">
        <f t="shared" ca="1" si="444"/>
        <v>-2.3384033909463904</v>
      </c>
      <c r="F978" s="357">
        <f t="shared" ca="1" si="445"/>
        <v>2.5114192491835365</v>
      </c>
      <c r="G978" s="359">
        <f t="shared" ca="1" si="446"/>
        <v>20.572205623173318</v>
      </c>
      <c r="H978" s="360">
        <f t="shared" ca="1" si="447"/>
        <v>-167.79960257073949</v>
      </c>
      <c r="I978" s="357">
        <f t="shared" ca="1" si="448"/>
        <v>169.05597376934139</v>
      </c>
      <c r="J978" s="359">
        <f t="shared" ca="1" si="449"/>
        <v>1741.4112148507097</v>
      </c>
      <c r="K978" s="360">
        <f t="shared" ca="1" si="450"/>
        <v>-16.523876592695878</v>
      </c>
      <c r="L978" s="357">
        <f t="shared" ca="1" si="435"/>
        <v>1741.4896088422333</v>
      </c>
      <c r="M978" s="359">
        <f t="shared" ca="1" si="451"/>
        <v>-1.4488052536006204</v>
      </c>
      <c r="N978" s="357">
        <f t="shared" ca="1" si="452"/>
        <v>-83.010426367696468</v>
      </c>
      <c r="O978" s="343"/>
      <c r="P978" s="363">
        <f t="shared" ca="1" si="453"/>
        <v>23</v>
      </c>
      <c r="Q978" s="357">
        <f t="shared" ca="1" si="454"/>
        <v>0</v>
      </c>
      <c r="R978" s="359">
        <f t="shared" ca="1" si="455"/>
        <v>0</v>
      </c>
      <c r="S978" s="360">
        <f t="shared" ca="1" si="456"/>
        <v>10.637999999999975</v>
      </c>
      <c r="T978" s="357">
        <f t="shared" ca="1" si="436"/>
        <v>104.35877999999975</v>
      </c>
      <c r="U978" s="364">
        <f t="shared" ca="1" si="437"/>
        <v>0</v>
      </c>
      <c r="V978" s="359">
        <f t="shared" ca="1" si="438"/>
        <v>1.22702584862624</v>
      </c>
      <c r="W978" s="357">
        <f t="shared" ca="1" si="439"/>
        <v>80.078309736958758</v>
      </c>
      <c r="X978" s="343"/>
      <c r="Y978" s="367" t="str">
        <f t="shared" ca="1" si="457"/>
        <v/>
      </c>
      <c r="Z978" s="368" t="str">
        <f t="shared" ca="1" si="458"/>
        <v/>
      </c>
      <c r="AA978" s="369" t="str">
        <f t="shared" ca="1" si="459"/>
        <v/>
      </c>
      <c r="AB978" s="344"/>
      <c r="AC978" s="363" t="e">
        <f t="shared" ca="1" si="460"/>
        <v>#N/A</v>
      </c>
      <c r="AD978" s="376" t="e">
        <f t="shared" ca="1" si="461"/>
        <v>#N/A</v>
      </c>
      <c r="AE978" s="377" t="e">
        <f t="shared" ca="1" si="440"/>
        <v>#N/A</v>
      </c>
      <c r="AF978" s="344"/>
      <c r="AG978" s="359">
        <f t="shared" ca="1" si="462"/>
        <v>2.2095547217328662</v>
      </c>
      <c r="AH978" s="357">
        <f t="shared" ca="1" si="463"/>
        <v>-7.5275395790923234</v>
      </c>
    </row>
    <row r="979" spans="1:34" x14ac:dyDescent="0.25">
      <c r="A979" s="402">
        <f t="shared" ca="1" si="441"/>
        <v>1E-4</v>
      </c>
      <c r="B979" s="357">
        <f t="shared" ca="1" si="442"/>
        <v>47.405100000000509</v>
      </c>
      <c r="C979" s="342"/>
      <c r="D979" s="359">
        <f t="shared" ca="1" si="443"/>
        <v>-0.91602061291116954</v>
      </c>
      <c r="E979" s="360">
        <f t="shared" ca="1" si="444"/>
        <v>-2.3383706760175</v>
      </c>
      <c r="F979" s="357">
        <f t="shared" ca="1" si="445"/>
        <v>2.5113882976825179</v>
      </c>
      <c r="G979" s="359">
        <f t="shared" ca="1" si="446"/>
        <v>20.572114021112025</v>
      </c>
      <c r="H979" s="360">
        <f t="shared" ca="1" si="447"/>
        <v>-167.79983640780711</v>
      </c>
      <c r="I979" s="357">
        <f t="shared" ca="1" si="448"/>
        <v>169.0561947217092</v>
      </c>
      <c r="J979" s="359">
        <f t="shared" ca="1" si="449"/>
        <v>1741.4112148507097</v>
      </c>
      <c r="K979" s="360">
        <f t="shared" ca="1" si="450"/>
        <v>-16.540656564644806</v>
      </c>
      <c r="L979" s="357">
        <f t="shared" ca="1" si="435"/>
        <v>1741.4897681374457</v>
      </c>
      <c r="M979" s="359">
        <f t="shared" ca="1" si="451"/>
        <v>-1.4488059597364578</v>
      </c>
      <c r="N979" s="357">
        <f t="shared" ca="1" si="452"/>
        <v>-83.010466826299705</v>
      </c>
      <c r="O979" s="343"/>
      <c r="P979" s="363">
        <f t="shared" ca="1" si="453"/>
        <v>23</v>
      </c>
      <c r="Q979" s="357">
        <f t="shared" ca="1" si="454"/>
        <v>0</v>
      </c>
      <c r="R979" s="359">
        <f t="shared" ca="1" si="455"/>
        <v>0</v>
      </c>
      <c r="S979" s="360">
        <f t="shared" ca="1" si="456"/>
        <v>10.637999999999975</v>
      </c>
      <c r="T979" s="357">
        <f t="shared" ca="1" si="436"/>
        <v>104.35877999999975</v>
      </c>
      <c r="U979" s="364">
        <f t="shared" ca="1" si="437"/>
        <v>0</v>
      </c>
      <c r="V979" s="359">
        <f t="shared" ca="1" si="438"/>
        <v>1.2270279075753066</v>
      </c>
      <c r="W979" s="357">
        <f t="shared" ca="1" si="439"/>
        <v>80.07865342994171</v>
      </c>
      <c r="X979" s="343"/>
      <c r="Y979" s="367" t="str">
        <f t="shared" ca="1" si="457"/>
        <v/>
      </c>
      <c r="Z979" s="368" t="str">
        <f t="shared" ca="1" si="458"/>
        <v/>
      </c>
      <c r="AA979" s="369" t="str">
        <f t="shared" ca="1" si="459"/>
        <v/>
      </c>
      <c r="AB979" s="344"/>
      <c r="AC979" s="363" t="e">
        <f t="shared" ca="1" si="460"/>
        <v>#N/A</v>
      </c>
      <c r="AD979" s="376" t="e">
        <f t="shared" ca="1" si="461"/>
        <v>#N/A</v>
      </c>
      <c r="AE979" s="377" t="e">
        <f t="shared" ca="1" si="440"/>
        <v>#N/A</v>
      </c>
      <c r="AF979" s="344"/>
      <c r="AG979" s="359">
        <f t="shared" ca="1" si="462"/>
        <v>2.2095232565078096</v>
      </c>
      <c r="AH979" s="357">
        <f t="shared" ca="1" si="463"/>
        <v>-7.5275718872869852</v>
      </c>
    </row>
    <row r="980" spans="1:34" x14ac:dyDescent="0.25">
      <c r="A980" s="402">
        <f t="shared" ca="1" si="441"/>
        <v>1E-4</v>
      </c>
      <c r="B980" s="357">
        <f t="shared" ca="1" si="442"/>
        <v>47.405200000000512</v>
      </c>
      <c r="C980" s="342"/>
      <c r="D980" s="359">
        <f t="shared" ca="1" si="443"/>
        <v>-0.91601926842782044</v>
      </c>
      <c r="E980" s="360">
        <f t="shared" ca="1" si="444"/>
        <v>-2.3383379612398825</v>
      </c>
      <c r="F980" s="357">
        <f t="shared" ca="1" si="445"/>
        <v>2.5113573463580465</v>
      </c>
      <c r="G980" s="359">
        <f t="shared" ca="1" si="446"/>
        <v>20.572022419185181</v>
      </c>
      <c r="H980" s="360">
        <f t="shared" ca="1" si="447"/>
        <v>-167.80007024160324</v>
      </c>
      <c r="I980" s="357">
        <f t="shared" ca="1" si="448"/>
        <v>169.05641567093051</v>
      </c>
      <c r="J980" s="359">
        <f t="shared" ca="1" si="449"/>
        <v>1741.4112148507097</v>
      </c>
      <c r="K980" s="360">
        <f t="shared" ca="1" si="450"/>
        <v>-16.557436559977276</v>
      </c>
      <c r="L980" s="357">
        <f t="shared" ca="1" si="435"/>
        <v>1741.4899275945475</v>
      </c>
      <c r="M980" s="359">
        <f t="shared" ca="1" si="451"/>
        <v>-1.4488066658673051</v>
      </c>
      <c r="N980" s="357">
        <f t="shared" ca="1" si="452"/>
        <v>-83.010507284617049</v>
      </c>
      <c r="O980" s="343"/>
      <c r="P980" s="363">
        <f t="shared" ca="1" si="453"/>
        <v>23</v>
      </c>
      <c r="Q980" s="357">
        <f t="shared" ca="1" si="454"/>
        <v>0</v>
      </c>
      <c r="R980" s="359">
        <f t="shared" ca="1" si="455"/>
        <v>0</v>
      </c>
      <c r="S980" s="360">
        <f t="shared" ca="1" si="456"/>
        <v>10.637999999999975</v>
      </c>
      <c r="T980" s="357">
        <f t="shared" ca="1" si="436"/>
        <v>104.35877999999975</v>
      </c>
      <c r="U980" s="364">
        <f t="shared" ca="1" si="437"/>
        <v>0</v>
      </c>
      <c r="V980" s="359">
        <f t="shared" ca="1" si="438"/>
        <v>1.2270299665307001</v>
      </c>
      <c r="W980" s="357">
        <f t="shared" ca="1" si="439"/>
        <v>80.078997121332748</v>
      </c>
      <c r="X980" s="343"/>
      <c r="Y980" s="367" t="str">
        <f t="shared" ca="1" si="457"/>
        <v/>
      </c>
      <c r="Z980" s="368" t="str">
        <f t="shared" ca="1" si="458"/>
        <v/>
      </c>
      <c r="AA980" s="369" t="str">
        <f t="shared" ca="1" si="459"/>
        <v/>
      </c>
      <c r="AB980" s="344"/>
      <c r="AC980" s="363" t="e">
        <f t="shared" ca="1" si="460"/>
        <v>#N/A</v>
      </c>
      <c r="AD980" s="376" t="e">
        <f t="shared" ca="1" si="461"/>
        <v>#N/A</v>
      </c>
      <c r="AE980" s="377" t="e">
        <f t="shared" ca="1" si="440"/>
        <v>#N/A</v>
      </c>
      <c r="AF980" s="344"/>
      <c r="AG980" s="359">
        <f t="shared" ca="1" si="462"/>
        <v>2.2094917914215797</v>
      </c>
      <c r="AH980" s="357">
        <f t="shared" ca="1" si="463"/>
        <v>-7.5276041953320076</v>
      </c>
    </row>
    <row r="981" spans="1:34" x14ac:dyDescent="0.25">
      <c r="A981" s="402">
        <f t="shared" ca="1" si="441"/>
        <v>1E-4</v>
      </c>
      <c r="B981" s="357">
        <f t="shared" ca="1" si="442"/>
        <v>47.405300000000516</v>
      </c>
      <c r="C981" s="342"/>
      <c r="D981" s="359">
        <f t="shared" ca="1" si="443"/>
        <v>-0.91601792391780013</v>
      </c>
      <c r="E981" s="360">
        <f t="shared" ca="1" si="444"/>
        <v>-2.3383052466135403</v>
      </c>
      <c r="F981" s="357">
        <f t="shared" ca="1" si="445"/>
        <v>2.5113263952101259</v>
      </c>
      <c r="G981" s="359">
        <f t="shared" ca="1" si="446"/>
        <v>20.57193081739279</v>
      </c>
      <c r="H981" s="360">
        <f t="shared" ca="1" si="447"/>
        <v>-167.80030407212789</v>
      </c>
      <c r="I981" s="357">
        <f t="shared" ca="1" si="448"/>
        <v>169.0566366170053</v>
      </c>
      <c r="J981" s="359">
        <f t="shared" ca="1" si="449"/>
        <v>1741.4112148507097</v>
      </c>
      <c r="K981" s="360">
        <f t="shared" ca="1" si="450"/>
        <v>-16.574216578692962</v>
      </c>
      <c r="L981" s="357">
        <f t="shared" ca="1" si="435"/>
        <v>1741.4900872135397</v>
      </c>
      <c r="M981" s="359">
        <f t="shared" ca="1" si="451"/>
        <v>-1.4488073719931625</v>
      </c>
      <c r="N981" s="357">
        <f t="shared" ca="1" si="452"/>
        <v>-83.010547742648484</v>
      </c>
      <c r="O981" s="343"/>
      <c r="P981" s="363">
        <f t="shared" ca="1" si="453"/>
        <v>23</v>
      </c>
      <c r="Q981" s="357">
        <f t="shared" ca="1" si="454"/>
        <v>0</v>
      </c>
      <c r="R981" s="359">
        <f t="shared" ca="1" si="455"/>
        <v>0</v>
      </c>
      <c r="S981" s="360">
        <f t="shared" ca="1" si="456"/>
        <v>10.637999999999975</v>
      </c>
      <c r="T981" s="357">
        <f t="shared" ca="1" si="436"/>
        <v>104.35877999999975</v>
      </c>
      <c r="U981" s="364">
        <f t="shared" ca="1" si="437"/>
        <v>0</v>
      </c>
      <c r="V981" s="359">
        <f t="shared" ca="1" si="438"/>
        <v>1.2270320254924203</v>
      </c>
      <c r="W981" s="357">
        <f t="shared" ca="1" si="439"/>
        <v>80.079340811131829</v>
      </c>
      <c r="X981" s="343"/>
      <c r="Y981" s="367" t="str">
        <f t="shared" ca="1" si="457"/>
        <v/>
      </c>
      <c r="Z981" s="368" t="str">
        <f t="shared" ca="1" si="458"/>
        <v/>
      </c>
      <c r="AA981" s="369" t="str">
        <f t="shared" ca="1" si="459"/>
        <v/>
      </c>
      <c r="AB981" s="344"/>
      <c r="AC981" s="363" t="e">
        <f t="shared" ca="1" si="460"/>
        <v>#N/A</v>
      </c>
      <c r="AD981" s="376" t="e">
        <f t="shared" ca="1" si="461"/>
        <v>#N/A</v>
      </c>
      <c r="AE981" s="377" t="e">
        <f t="shared" ca="1" si="440"/>
        <v>#N/A</v>
      </c>
      <c r="AF981" s="344"/>
      <c r="AG981" s="359">
        <f t="shared" ca="1" si="462"/>
        <v>2.209460326474181</v>
      </c>
      <c r="AH981" s="357">
        <f t="shared" ca="1" si="463"/>
        <v>-7.5276365032273862</v>
      </c>
    </row>
    <row r="982" spans="1:34" x14ac:dyDescent="0.25">
      <c r="A982" s="402">
        <f t="shared" ca="1" si="441"/>
        <v>1E-4</v>
      </c>
      <c r="B982" s="357">
        <f t="shared" ca="1" si="442"/>
        <v>47.405400000000519</v>
      </c>
      <c r="C982" s="342"/>
      <c r="D982" s="359">
        <f t="shared" ca="1" si="443"/>
        <v>-0.9160165793811087</v>
      </c>
      <c r="E982" s="360">
        <f t="shared" ca="1" si="444"/>
        <v>-2.338272532138479</v>
      </c>
      <c r="F982" s="357">
        <f t="shared" ca="1" si="445"/>
        <v>2.5112954442387623</v>
      </c>
      <c r="G982" s="359">
        <f t="shared" ca="1" si="446"/>
        <v>20.571839215734851</v>
      </c>
      <c r="H982" s="360">
        <f t="shared" ca="1" si="447"/>
        <v>-167.80053789938111</v>
      </c>
      <c r="I982" s="357">
        <f t="shared" ca="1" si="448"/>
        <v>169.0568575599336</v>
      </c>
      <c r="J982" s="359">
        <f t="shared" ca="1" si="449"/>
        <v>1741.4112148507097</v>
      </c>
      <c r="K982" s="360">
        <f t="shared" ca="1" si="450"/>
        <v>-16.590996620791536</v>
      </c>
      <c r="L982" s="357">
        <f t="shared" ca="1" si="435"/>
        <v>1741.4902469944227</v>
      </c>
      <c r="M982" s="359">
        <f t="shared" ca="1" si="451"/>
        <v>-1.4488080781140298</v>
      </c>
      <c r="N982" s="357">
        <f t="shared" ca="1" si="452"/>
        <v>-83.010588200393997</v>
      </c>
      <c r="O982" s="343"/>
      <c r="P982" s="363">
        <f t="shared" ca="1" si="453"/>
        <v>23</v>
      </c>
      <c r="Q982" s="357">
        <f t="shared" ca="1" si="454"/>
        <v>0</v>
      </c>
      <c r="R982" s="359">
        <f t="shared" ca="1" si="455"/>
        <v>0</v>
      </c>
      <c r="S982" s="360">
        <f t="shared" ca="1" si="456"/>
        <v>10.637999999999975</v>
      </c>
      <c r="T982" s="357">
        <f t="shared" ca="1" si="436"/>
        <v>104.35877999999975</v>
      </c>
      <c r="U982" s="364">
        <f t="shared" ca="1" si="437"/>
        <v>0</v>
      </c>
      <c r="V982" s="359">
        <f t="shared" ca="1" si="438"/>
        <v>1.2270340844604675</v>
      </c>
      <c r="W982" s="357">
        <f t="shared" ca="1" si="439"/>
        <v>80.079684499338995</v>
      </c>
      <c r="X982" s="343"/>
      <c r="Y982" s="367" t="str">
        <f t="shared" ca="1" si="457"/>
        <v/>
      </c>
      <c r="Z982" s="368" t="str">
        <f t="shared" ca="1" si="458"/>
        <v/>
      </c>
      <c r="AA982" s="369" t="str">
        <f t="shared" ca="1" si="459"/>
        <v/>
      </c>
      <c r="AB982" s="344"/>
      <c r="AC982" s="363" t="e">
        <f t="shared" ca="1" si="460"/>
        <v>#N/A</v>
      </c>
      <c r="AD982" s="376" t="e">
        <f t="shared" ca="1" si="461"/>
        <v>#N/A</v>
      </c>
      <c r="AE982" s="377" t="e">
        <f t="shared" ca="1" si="440"/>
        <v>#N/A</v>
      </c>
      <c r="AF982" s="344"/>
      <c r="AG982" s="359">
        <f t="shared" ca="1" si="462"/>
        <v>2.2094288616656179</v>
      </c>
      <c r="AH982" s="357">
        <f t="shared" ca="1" si="463"/>
        <v>-7.5276688109731165</v>
      </c>
    </row>
    <row r="983" spans="1:34" x14ac:dyDescent="0.25">
      <c r="A983" s="402">
        <f t="shared" ca="1" si="441"/>
        <v>1E-4</v>
      </c>
      <c r="B983" s="357">
        <f t="shared" ca="1" si="442"/>
        <v>47.405500000000522</v>
      </c>
      <c r="C983" s="342"/>
      <c r="D983" s="359">
        <f t="shared" ca="1" si="443"/>
        <v>-0.91601523481774749</v>
      </c>
      <c r="E983" s="360">
        <f t="shared" ca="1" si="444"/>
        <v>-2.338239817814693</v>
      </c>
      <c r="F983" s="357">
        <f t="shared" ca="1" si="445"/>
        <v>2.5112644934439508</v>
      </c>
      <c r="G983" s="359">
        <f t="shared" ca="1" si="446"/>
        <v>20.571747614211368</v>
      </c>
      <c r="H983" s="360">
        <f t="shared" ca="1" si="447"/>
        <v>-167.80077172336289</v>
      </c>
      <c r="I983" s="357">
        <f t="shared" ca="1" si="448"/>
        <v>169.05707849971546</v>
      </c>
      <c r="J983" s="359">
        <f t="shared" ca="1" si="449"/>
        <v>1741.4112148507097</v>
      </c>
      <c r="K983" s="360">
        <f t="shared" ca="1" si="450"/>
        <v>-16.607776686272672</v>
      </c>
      <c r="L983" s="357">
        <f t="shared" ca="1" si="435"/>
        <v>1741.4904069371973</v>
      </c>
      <c r="M983" s="359">
        <f t="shared" ca="1" si="451"/>
        <v>-1.4488087842299073</v>
      </c>
      <c r="N983" s="357">
        <f t="shared" ca="1" si="452"/>
        <v>-83.01062865785363</v>
      </c>
      <c r="O983" s="343"/>
      <c r="P983" s="363">
        <f t="shared" ca="1" si="453"/>
        <v>23</v>
      </c>
      <c r="Q983" s="357">
        <f t="shared" ca="1" si="454"/>
        <v>0</v>
      </c>
      <c r="R983" s="359">
        <f t="shared" ca="1" si="455"/>
        <v>0</v>
      </c>
      <c r="S983" s="360">
        <f t="shared" ca="1" si="456"/>
        <v>10.637999999999975</v>
      </c>
      <c r="T983" s="357">
        <f t="shared" ca="1" si="436"/>
        <v>104.35877999999975</v>
      </c>
      <c r="U983" s="364">
        <f t="shared" ca="1" si="437"/>
        <v>0</v>
      </c>
      <c r="V983" s="359">
        <f t="shared" ca="1" si="438"/>
        <v>1.227036143434842</v>
      </c>
      <c r="W983" s="357">
        <f t="shared" ca="1" si="439"/>
        <v>80.080028185954234</v>
      </c>
      <c r="X983" s="343"/>
      <c r="Y983" s="367" t="str">
        <f t="shared" ca="1" si="457"/>
        <v/>
      </c>
      <c r="Z983" s="368" t="str">
        <f t="shared" ca="1" si="458"/>
        <v/>
      </c>
      <c r="AA983" s="369" t="str">
        <f t="shared" ca="1" si="459"/>
        <v/>
      </c>
      <c r="AB983" s="344"/>
      <c r="AC983" s="363" t="e">
        <f t="shared" ca="1" si="460"/>
        <v>#N/A</v>
      </c>
      <c r="AD983" s="376" t="e">
        <f t="shared" ca="1" si="461"/>
        <v>#N/A</v>
      </c>
      <c r="AE983" s="377" t="e">
        <f t="shared" ca="1" si="440"/>
        <v>#N/A</v>
      </c>
      <c r="AF983" s="344"/>
      <c r="AG983" s="359">
        <f t="shared" ca="1" si="462"/>
        <v>2.2093973969958896</v>
      </c>
      <c r="AH983" s="357">
        <f t="shared" ca="1" si="463"/>
        <v>-7.5277011185692029</v>
      </c>
    </row>
    <row r="984" spans="1:34" x14ac:dyDescent="0.25">
      <c r="A984" s="402">
        <f t="shared" ca="1" si="441"/>
        <v>1E-4</v>
      </c>
      <c r="B984" s="357">
        <f t="shared" ca="1" si="442"/>
        <v>47.405600000000526</v>
      </c>
      <c r="C984" s="342"/>
      <c r="D984" s="359">
        <f t="shared" ca="1" si="443"/>
        <v>-0.91601389022771551</v>
      </c>
      <c r="E984" s="360">
        <f t="shared" ca="1" si="444"/>
        <v>-2.3382071036421852</v>
      </c>
      <c r="F984" s="357">
        <f t="shared" ca="1" si="445"/>
        <v>2.5112335428256944</v>
      </c>
      <c r="G984" s="359">
        <f t="shared" ca="1" si="446"/>
        <v>20.571656012822345</v>
      </c>
      <c r="H984" s="360">
        <f t="shared" ca="1" si="447"/>
        <v>-167.80100554407326</v>
      </c>
      <c r="I984" s="357">
        <f t="shared" ca="1" si="448"/>
        <v>169.05729943635086</v>
      </c>
      <c r="J984" s="359">
        <f t="shared" ca="1" si="449"/>
        <v>1741.4112148507097</v>
      </c>
      <c r="K984" s="360">
        <f t="shared" ca="1" si="450"/>
        <v>-16.624556775136043</v>
      </c>
      <c r="L984" s="357">
        <f t="shared" ca="1" si="435"/>
        <v>1741.4905670418643</v>
      </c>
      <c r="M984" s="359">
        <f t="shared" ca="1" si="451"/>
        <v>-1.4488094903407953</v>
      </c>
      <c r="N984" s="357">
        <f t="shared" ca="1" si="452"/>
        <v>-83.010669115027383</v>
      </c>
      <c r="O984" s="343"/>
      <c r="P984" s="363">
        <f t="shared" ca="1" si="453"/>
        <v>23</v>
      </c>
      <c r="Q984" s="357">
        <f t="shared" ca="1" si="454"/>
        <v>0</v>
      </c>
      <c r="R984" s="359">
        <f t="shared" ca="1" si="455"/>
        <v>0</v>
      </c>
      <c r="S984" s="360">
        <f t="shared" ca="1" si="456"/>
        <v>10.637999999999975</v>
      </c>
      <c r="T984" s="357">
        <f t="shared" ca="1" si="436"/>
        <v>104.35877999999975</v>
      </c>
      <c r="U984" s="364">
        <f t="shared" ca="1" si="437"/>
        <v>0</v>
      </c>
      <c r="V984" s="359">
        <f t="shared" ca="1" si="438"/>
        <v>1.2270382024155431</v>
      </c>
      <c r="W984" s="357">
        <f t="shared" ca="1" si="439"/>
        <v>80.080371870977501</v>
      </c>
      <c r="X984" s="343"/>
      <c r="Y984" s="367" t="str">
        <f t="shared" ca="1" si="457"/>
        <v/>
      </c>
      <c r="Z984" s="368" t="str">
        <f t="shared" ca="1" si="458"/>
        <v/>
      </c>
      <c r="AA984" s="369" t="str">
        <f t="shared" ca="1" si="459"/>
        <v/>
      </c>
      <c r="AB984" s="344"/>
      <c r="AC984" s="363" t="e">
        <f t="shared" ca="1" si="460"/>
        <v>#N/A</v>
      </c>
      <c r="AD984" s="376" t="e">
        <f t="shared" ca="1" si="461"/>
        <v>#N/A</v>
      </c>
      <c r="AE984" s="377" t="e">
        <f t="shared" ca="1" si="440"/>
        <v>#N/A</v>
      </c>
      <c r="AF984" s="344"/>
      <c r="AG984" s="359">
        <f t="shared" ca="1" si="462"/>
        <v>2.2093659324649924</v>
      </c>
      <c r="AH984" s="357">
        <f t="shared" ca="1" si="463"/>
        <v>-7.5277334260156437</v>
      </c>
    </row>
    <row r="985" spans="1:34" x14ac:dyDescent="0.25">
      <c r="A985" s="402">
        <f t="shared" ca="1" si="441"/>
        <v>1E-4</v>
      </c>
      <c r="B985" s="357">
        <f t="shared" ca="1" si="442"/>
        <v>47.405700000000529</v>
      </c>
      <c r="C985" s="342"/>
      <c r="D985" s="359">
        <f t="shared" ca="1" si="443"/>
        <v>-0.91601254561101142</v>
      </c>
      <c r="E985" s="360">
        <f t="shared" ca="1" si="444"/>
        <v>-2.3381743896209581</v>
      </c>
      <c r="F985" s="357">
        <f t="shared" ca="1" si="445"/>
        <v>2.5112025923839969</v>
      </c>
      <c r="G985" s="359">
        <f t="shared" ca="1" si="446"/>
        <v>20.571564411567785</v>
      </c>
      <c r="H985" s="360">
        <f t="shared" ca="1" si="447"/>
        <v>-167.80123936151222</v>
      </c>
      <c r="I985" s="357">
        <f t="shared" ca="1" si="448"/>
        <v>169.05752036983981</v>
      </c>
      <c r="J985" s="359">
        <f t="shared" ca="1" si="449"/>
        <v>1741.4112148507097</v>
      </c>
      <c r="K985" s="360">
        <f t="shared" ca="1" si="450"/>
        <v>-16.641336887381321</v>
      </c>
      <c r="L985" s="357">
        <f t="shared" ca="1" si="435"/>
        <v>1741.4907273084241</v>
      </c>
      <c r="M985" s="359">
        <f t="shared" ca="1" si="451"/>
        <v>-1.4488101964466935</v>
      </c>
      <c r="N985" s="357">
        <f t="shared" ca="1" si="452"/>
        <v>-83.010709571915243</v>
      </c>
      <c r="O985" s="343"/>
      <c r="P985" s="363">
        <f t="shared" ca="1" si="453"/>
        <v>23</v>
      </c>
      <c r="Q985" s="357">
        <f t="shared" ca="1" si="454"/>
        <v>0</v>
      </c>
      <c r="R985" s="359">
        <f t="shared" ca="1" si="455"/>
        <v>0</v>
      </c>
      <c r="S985" s="360">
        <f t="shared" ca="1" si="456"/>
        <v>10.637999999999975</v>
      </c>
      <c r="T985" s="357">
        <f t="shared" ca="1" si="436"/>
        <v>104.35877999999975</v>
      </c>
      <c r="U985" s="364">
        <f t="shared" ca="1" si="437"/>
        <v>0</v>
      </c>
      <c r="V985" s="359">
        <f t="shared" ca="1" si="438"/>
        <v>1.2270402614025711</v>
      </c>
      <c r="W985" s="357">
        <f t="shared" ca="1" si="439"/>
        <v>80.080715554408783</v>
      </c>
      <c r="X985" s="343"/>
      <c r="Y985" s="367" t="str">
        <f t="shared" ca="1" si="457"/>
        <v/>
      </c>
      <c r="Z985" s="368" t="str">
        <f t="shared" ca="1" si="458"/>
        <v/>
      </c>
      <c r="AA985" s="369" t="str">
        <f t="shared" ca="1" si="459"/>
        <v/>
      </c>
      <c r="AB985" s="344"/>
      <c r="AC985" s="363" t="e">
        <f t="shared" ca="1" si="460"/>
        <v>#N/A</v>
      </c>
      <c r="AD985" s="376" t="e">
        <f t="shared" ca="1" si="461"/>
        <v>#N/A</v>
      </c>
      <c r="AE985" s="377" t="e">
        <f t="shared" ca="1" si="440"/>
        <v>#N/A</v>
      </c>
      <c r="AF985" s="344"/>
      <c r="AG985" s="359">
        <f t="shared" ca="1" si="462"/>
        <v>2.2093344680729352</v>
      </c>
      <c r="AH985" s="357">
        <f t="shared" ca="1" si="463"/>
        <v>-7.5277657333124353</v>
      </c>
    </row>
    <row r="986" spans="1:34" x14ac:dyDescent="0.25">
      <c r="A986" s="402">
        <f t="shared" ca="1" si="441"/>
        <v>1E-4</v>
      </c>
      <c r="B986" s="357">
        <f t="shared" ca="1" si="442"/>
        <v>47.405800000000532</v>
      </c>
      <c r="C986" s="342"/>
      <c r="D986" s="359">
        <f t="shared" ca="1" si="443"/>
        <v>-0.91601120096763744</v>
      </c>
      <c r="E986" s="360">
        <f t="shared" ca="1" si="444"/>
        <v>-2.3381416757510154</v>
      </c>
      <c r="F986" s="357">
        <f t="shared" ca="1" si="445"/>
        <v>2.5111716421188617</v>
      </c>
      <c r="G986" s="359">
        <f t="shared" ca="1" si="446"/>
        <v>20.571472810447688</v>
      </c>
      <c r="H986" s="360">
        <f t="shared" ca="1" si="447"/>
        <v>-167.8014731756798</v>
      </c>
      <c r="I986" s="357">
        <f t="shared" ca="1" si="448"/>
        <v>169.05774130018233</v>
      </c>
      <c r="J986" s="359">
        <f t="shared" ca="1" si="449"/>
        <v>1741.4112148507097</v>
      </c>
      <c r="K986" s="360">
        <f t="shared" ca="1" si="450"/>
        <v>-16.658117023008181</v>
      </c>
      <c r="L986" s="357">
        <f t="shared" ca="1" si="435"/>
        <v>1741.4908877368773</v>
      </c>
      <c r="M986" s="359">
        <f t="shared" ca="1" si="451"/>
        <v>-1.4488109025476019</v>
      </c>
      <c r="N986" s="357">
        <f t="shared" ca="1" si="452"/>
        <v>-83.010750028517194</v>
      </c>
      <c r="O986" s="343"/>
      <c r="P986" s="363">
        <f t="shared" ca="1" si="453"/>
        <v>23</v>
      </c>
      <c r="Q986" s="357">
        <f t="shared" ca="1" si="454"/>
        <v>0</v>
      </c>
      <c r="R986" s="359">
        <f t="shared" ca="1" si="455"/>
        <v>0</v>
      </c>
      <c r="S986" s="360">
        <f t="shared" ca="1" si="456"/>
        <v>10.637999999999975</v>
      </c>
      <c r="T986" s="357">
        <f t="shared" ca="1" si="436"/>
        <v>104.35877999999975</v>
      </c>
      <c r="U986" s="364">
        <f t="shared" ca="1" si="437"/>
        <v>0</v>
      </c>
      <c r="V986" s="359">
        <f t="shared" ca="1" si="438"/>
        <v>1.2270423203959264</v>
      </c>
      <c r="W986" s="357">
        <f t="shared" ca="1" si="439"/>
        <v>80.081059236248137</v>
      </c>
      <c r="X986" s="343"/>
      <c r="Y986" s="367" t="str">
        <f t="shared" ca="1" si="457"/>
        <v/>
      </c>
      <c r="Z986" s="368" t="str">
        <f t="shared" ca="1" si="458"/>
        <v/>
      </c>
      <c r="AA986" s="369" t="str">
        <f t="shared" ca="1" si="459"/>
        <v/>
      </c>
      <c r="AB986" s="344"/>
      <c r="AC986" s="363" t="e">
        <f t="shared" ca="1" si="460"/>
        <v>#N/A</v>
      </c>
      <c r="AD986" s="376" t="e">
        <f t="shared" ca="1" si="461"/>
        <v>#N/A</v>
      </c>
      <c r="AE986" s="377" t="e">
        <f t="shared" ca="1" si="440"/>
        <v>#N/A</v>
      </c>
      <c r="AF986" s="344"/>
      <c r="AG986" s="359">
        <f t="shared" ca="1" si="462"/>
        <v>2.2093030038197163</v>
      </c>
      <c r="AH986" s="357">
        <f t="shared" ca="1" si="463"/>
        <v>-7.5277980404595759</v>
      </c>
    </row>
    <row r="987" spans="1:34" x14ac:dyDescent="0.25">
      <c r="A987" s="402">
        <f t="shared" ca="1" si="441"/>
        <v>1E-4</v>
      </c>
      <c r="B987" s="357">
        <f t="shared" ca="1" si="442"/>
        <v>47.405900000000535</v>
      </c>
      <c r="C987" s="342"/>
      <c r="D987" s="359">
        <f t="shared" ca="1" si="443"/>
        <v>-0.91600985629759524</v>
      </c>
      <c r="E987" s="360">
        <f t="shared" ca="1" si="444"/>
        <v>-2.3381089620323481</v>
      </c>
      <c r="F987" s="357">
        <f t="shared" ca="1" si="445"/>
        <v>2.5111406920302826</v>
      </c>
      <c r="G987" s="359">
        <f t="shared" ca="1" si="446"/>
        <v>20.571381209462057</v>
      </c>
      <c r="H987" s="360">
        <f t="shared" ca="1" si="447"/>
        <v>-167.80170698657599</v>
      </c>
      <c r="I987" s="357">
        <f t="shared" ca="1" si="448"/>
        <v>169.05796222737843</v>
      </c>
      <c r="J987" s="359">
        <f t="shared" ca="1" si="449"/>
        <v>1741.4112148507097</v>
      </c>
      <c r="K987" s="360">
        <f t="shared" ca="1" si="450"/>
        <v>-16.674897182016295</v>
      </c>
      <c r="L987" s="357">
        <f t="shared" ca="1" si="435"/>
        <v>1741.4910483272245</v>
      </c>
      <c r="M987" s="359">
        <f t="shared" ca="1" si="451"/>
        <v>-1.4488116086435208</v>
      </c>
      <c r="N987" s="357">
        <f t="shared" ca="1" si="452"/>
        <v>-83.010790484833279</v>
      </c>
      <c r="O987" s="343"/>
      <c r="P987" s="363">
        <f t="shared" ca="1" si="453"/>
        <v>23</v>
      </c>
      <c r="Q987" s="357">
        <f t="shared" ca="1" si="454"/>
        <v>0</v>
      </c>
      <c r="R987" s="359">
        <f t="shared" ca="1" si="455"/>
        <v>0</v>
      </c>
      <c r="S987" s="360">
        <f t="shared" ca="1" si="456"/>
        <v>10.637999999999975</v>
      </c>
      <c r="T987" s="357">
        <f t="shared" ca="1" si="436"/>
        <v>104.35877999999975</v>
      </c>
      <c r="U987" s="364">
        <f t="shared" ca="1" si="437"/>
        <v>0</v>
      </c>
      <c r="V987" s="359">
        <f t="shared" ca="1" si="438"/>
        <v>1.2270443793956083</v>
      </c>
      <c r="W987" s="357">
        <f t="shared" ca="1" si="439"/>
        <v>80.081402916495449</v>
      </c>
      <c r="X987" s="343"/>
      <c r="Y987" s="367" t="str">
        <f t="shared" ca="1" si="457"/>
        <v/>
      </c>
      <c r="Z987" s="368" t="str">
        <f t="shared" ca="1" si="458"/>
        <v/>
      </c>
      <c r="AA987" s="369" t="str">
        <f t="shared" ca="1" si="459"/>
        <v/>
      </c>
      <c r="AB987" s="344"/>
      <c r="AC987" s="363" t="e">
        <f t="shared" ca="1" si="460"/>
        <v>#N/A</v>
      </c>
      <c r="AD987" s="376" t="e">
        <f t="shared" ca="1" si="461"/>
        <v>#N/A</v>
      </c>
      <c r="AE987" s="377" t="e">
        <f t="shared" ca="1" si="440"/>
        <v>#N/A</v>
      </c>
      <c r="AF987" s="344"/>
      <c r="AG987" s="359">
        <f t="shared" ca="1" si="462"/>
        <v>2.2092715397053331</v>
      </c>
      <c r="AH987" s="357">
        <f t="shared" ca="1" si="463"/>
        <v>-7.5278303474570718</v>
      </c>
    </row>
    <row r="988" spans="1:34" x14ac:dyDescent="0.25">
      <c r="A988" s="402">
        <f t="shared" ca="1" si="441"/>
        <v>1E-4</v>
      </c>
      <c r="B988" s="357">
        <f t="shared" ca="1" si="442"/>
        <v>47.406000000000539</v>
      </c>
      <c r="C988" s="342"/>
      <c r="D988" s="359">
        <f t="shared" ca="1" si="443"/>
        <v>-0.91600851160088226</v>
      </c>
      <c r="E988" s="360">
        <f t="shared" ca="1" si="444"/>
        <v>-2.3380762484649704</v>
      </c>
      <c r="F988" s="357">
        <f t="shared" ca="1" si="445"/>
        <v>2.511109742118272</v>
      </c>
      <c r="G988" s="359">
        <f t="shared" ca="1" si="446"/>
        <v>20.571289608610897</v>
      </c>
      <c r="H988" s="360">
        <f t="shared" ca="1" si="447"/>
        <v>-167.80194079420085</v>
      </c>
      <c r="I988" s="357">
        <f t="shared" ca="1" si="448"/>
        <v>169.05818315142815</v>
      </c>
      <c r="J988" s="359">
        <f t="shared" ca="1" si="449"/>
        <v>1741.4112148507097</v>
      </c>
      <c r="K988" s="360">
        <f t="shared" ca="1" si="450"/>
        <v>-16.691677364405333</v>
      </c>
      <c r="L988" s="357">
        <f t="shared" ca="1" si="435"/>
        <v>1741.4912090794664</v>
      </c>
      <c r="M988" s="359">
        <f t="shared" ca="1" si="451"/>
        <v>-1.44881231473445</v>
      </c>
      <c r="N988" s="357">
        <f t="shared" ca="1" si="452"/>
        <v>-83.010830940863485</v>
      </c>
      <c r="O988" s="343"/>
      <c r="P988" s="363">
        <f t="shared" ca="1" si="453"/>
        <v>23</v>
      </c>
      <c r="Q988" s="357">
        <f t="shared" ca="1" si="454"/>
        <v>0</v>
      </c>
      <c r="R988" s="359">
        <f t="shared" ca="1" si="455"/>
        <v>0</v>
      </c>
      <c r="S988" s="360">
        <f t="shared" ca="1" si="456"/>
        <v>10.637999999999975</v>
      </c>
      <c r="T988" s="357">
        <f t="shared" ca="1" si="436"/>
        <v>104.35877999999975</v>
      </c>
      <c r="U988" s="364">
        <f t="shared" ca="1" si="437"/>
        <v>0</v>
      </c>
      <c r="V988" s="359">
        <f t="shared" ca="1" si="438"/>
        <v>1.2270464384016169</v>
      </c>
      <c r="W988" s="357">
        <f t="shared" ca="1" si="439"/>
        <v>80.081746595150804</v>
      </c>
      <c r="X988" s="343"/>
      <c r="Y988" s="367" t="str">
        <f t="shared" ca="1" si="457"/>
        <v/>
      </c>
      <c r="Z988" s="368" t="str">
        <f t="shared" ca="1" si="458"/>
        <v/>
      </c>
      <c r="AA988" s="369" t="str">
        <f t="shared" ca="1" si="459"/>
        <v/>
      </c>
      <c r="AB988" s="344"/>
      <c r="AC988" s="363" t="e">
        <f t="shared" ca="1" si="460"/>
        <v>#N/A</v>
      </c>
      <c r="AD988" s="376" t="e">
        <f t="shared" ca="1" si="461"/>
        <v>#N/A</v>
      </c>
      <c r="AE988" s="377" t="e">
        <f t="shared" ca="1" si="440"/>
        <v>#N/A</v>
      </c>
      <c r="AF988" s="344"/>
      <c r="AG988" s="359">
        <f t="shared" ca="1" si="462"/>
        <v>2.2092400757297943</v>
      </c>
      <c r="AH988" s="357">
        <f t="shared" ca="1" si="463"/>
        <v>-7.5278626543049105</v>
      </c>
    </row>
    <row r="989" spans="1:34" x14ac:dyDescent="0.25">
      <c r="A989" s="402">
        <f t="shared" ca="1" si="441"/>
        <v>1E-4</v>
      </c>
      <c r="B989" s="357">
        <f t="shared" ca="1" si="442"/>
        <v>47.406100000000542</v>
      </c>
      <c r="C989" s="342"/>
      <c r="D989" s="359">
        <f t="shared" ca="1" si="443"/>
        <v>-0.9160071668775005</v>
      </c>
      <c r="E989" s="360">
        <f t="shared" ca="1" si="444"/>
        <v>-2.3380435350488735</v>
      </c>
      <c r="F989" s="357">
        <f t="shared" ca="1" si="445"/>
        <v>2.5110787923828233</v>
      </c>
      <c r="G989" s="359">
        <f t="shared" ca="1" si="446"/>
        <v>20.57119800789421</v>
      </c>
      <c r="H989" s="360">
        <f t="shared" ca="1" si="447"/>
        <v>-167.80217459855436</v>
      </c>
      <c r="I989" s="357">
        <f t="shared" ca="1" si="448"/>
        <v>169.05840407233151</v>
      </c>
      <c r="J989" s="359">
        <f t="shared" ca="1" si="449"/>
        <v>1741.4112148507097</v>
      </c>
      <c r="K989" s="360">
        <f t="shared" ca="1" si="450"/>
        <v>-16.708457570174971</v>
      </c>
      <c r="L989" s="357">
        <f t="shared" ca="1" si="435"/>
        <v>1741.4913699936037</v>
      </c>
      <c r="M989" s="359">
        <f t="shared" ca="1" si="451"/>
        <v>-1.4488130208203898</v>
      </c>
      <c r="N989" s="357">
        <f t="shared" ca="1" si="452"/>
        <v>-83.010871396607797</v>
      </c>
      <c r="O989" s="343"/>
      <c r="P989" s="363">
        <f t="shared" ca="1" si="453"/>
        <v>23</v>
      </c>
      <c r="Q989" s="357">
        <f t="shared" ca="1" si="454"/>
        <v>0</v>
      </c>
      <c r="R989" s="359">
        <f t="shared" ca="1" si="455"/>
        <v>0</v>
      </c>
      <c r="S989" s="360">
        <f t="shared" ca="1" si="456"/>
        <v>10.637999999999975</v>
      </c>
      <c r="T989" s="357">
        <f t="shared" ca="1" si="436"/>
        <v>104.35877999999975</v>
      </c>
      <c r="U989" s="364">
        <f t="shared" ca="1" si="437"/>
        <v>0</v>
      </c>
      <c r="V989" s="359">
        <f t="shared" ca="1" si="438"/>
        <v>1.2270484974139526</v>
      </c>
      <c r="W989" s="357">
        <f t="shared" ca="1" si="439"/>
        <v>80.082090272214174</v>
      </c>
      <c r="X989" s="343"/>
      <c r="Y989" s="367" t="str">
        <f t="shared" ca="1" si="457"/>
        <v/>
      </c>
      <c r="Z989" s="368" t="str">
        <f t="shared" ca="1" si="458"/>
        <v/>
      </c>
      <c r="AA989" s="369" t="str">
        <f t="shared" ca="1" si="459"/>
        <v/>
      </c>
      <c r="AB989" s="344"/>
      <c r="AC989" s="363" t="e">
        <f t="shared" ca="1" si="460"/>
        <v>#N/A</v>
      </c>
      <c r="AD989" s="376" t="e">
        <f t="shared" ca="1" si="461"/>
        <v>#N/A</v>
      </c>
      <c r="AE989" s="377" t="e">
        <f t="shared" ca="1" si="440"/>
        <v>#N/A</v>
      </c>
      <c r="AF989" s="344"/>
      <c r="AG989" s="359">
        <f t="shared" ca="1" si="462"/>
        <v>2.2092086118930929</v>
      </c>
      <c r="AH989" s="357">
        <f t="shared" ca="1" si="463"/>
        <v>-7.527894961003101</v>
      </c>
    </row>
    <row r="990" spans="1:34" x14ac:dyDescent="0.25">
      <c r="A990" s="402">
        <f t="shared" ca="1" si="441"/>
        <v>1E-4</v>
      </c>
      <c r="B990" s="357">
        <f t="shared" ca="1" si="442"/>
        <v>47.406200000000545</v>
      </c>
      <c r="C990" s="342"/>
      <c r="D990" s="359">
        <f t="shared" ca="1" si="443"/>
        <v>-0.91600582212745063</v>
      </c>
      <c r="E990" s="360">
        <f t="shared" ca="1" si="444"/>
        <v>-2.3380108217840601</v>
      </c>
      <c r="F990" s="357">
        <f t="shared" ca="1" si="445"/>
        <v>2.51104784282394</v>
      </c>
      <c r="G990" s="359">
        <f t="shared" ca="1" si="446"/>
        <v>20.571106407311998</v>
      </c>
      <c r="H990" s="360">
        <f t="shared" ca="1" si="447"/>
        <v>-167.80240839963653</v>
      </c>
      <c r="I990" s="357">
        <f t="shared" ca="1" si="448"/>
        <v>169.05862499008845</v>
      </c>
      <c r="J990" s="359">
        <f t="shared" ca="1" si="449"/>
        <v>1741.4112148507097</v>
      </c>
      <c r="K990" s="360">
        <f t="shared" ca="1" si="450"/>
        <v>-16.72523779932488</v>
      </c>
      <c r="L990" s="357">
        <f t="shared" ca="1" si="435"/>
        <v>1741.4915310696369</v>
      </c>
      <c r="M990" s="359">
        <f t="shared" ca="1" si="451"/>
        <v>-1.4488137269013399</v>
      </c>
      <c r="N990" s="357">
        <f t="shared" ca="1" si="452"/>
        <v>-83.010911852066243</v>
      </c>
      <c r="O990" s="343"/>
      <c r="P990" s="363">
        <f t="shared" ca="1" si="453"/>
        <v>23</v>
      </c>
      <c r="Q990" s="357">
        <f t="shared" ca="1" si="454"/>
        <v>0</v>
      </c>
      <c r="R990" s="359">
        <f t="shared" ca="1" si="455"/>
        <v>0</v>
      </c>
      <c r="S990" s="360">
        <f t="shared" ca="1" si="456"/>
        <v>10.637999999999975</v>
      </c>
      <c r="T990" s="357">
        <f t="shared" ca="1" si="436"/>
        <v>104.35877999999975</v>
      </c>
      <c r="U990" s="364">
        <f t="shared" ca="1" si="437"/>
        <v>0</v>
      </c>
      <c r="V990" s="359">
        <f t="shared" ca="1" si="438"/>
        <v>1.2270505564326153</v>
      </c>
      <c r="W990" s="357">
        <f t="shared" ca="1" si="439"/>
        <v>80.082433947685516</v>
      </c>
      <c r="X990" s="343"/>
      <c r="Y990" s="367" t="str">
        <f t="shared" ca="1" si="457"/>
        <v/>
      </c>
      <c r="Z990" s="368" t="str">
        <f t="shared" ca="1" si="458"/>
        <v/>
      </c>
      <c r="AA990" s="369" t="str">
        <f t="shared" ca="1" si="459"/>
        <v/>
      </c>
      <c r="AB990" s="344"/>
      <c r="AC990" s="363" t="e">
        <f t="shared" ca="1" si="460"/>
        <v>#N/A</v>
      </c>
      <c r="AD990" s="376" t="e">
        <f t="shared" ca="1" si="461"/>
        <v>#N/A</v>
      </c>
      <c r="AE990" s="377" t="e">
        <f t="shared" ca="1" si="440"/>
        <v>#N/A</v>
      </c>
      <c r="AF990" s="344"/>
      <c r="AG990" s="359">
        <f t="shared" ca="1" si="462"/>
        <v>2.2091771481952307</v>
      </c>
      <c r="AH990" s="357">
        <f t="shared" ca="1" si="463"/>
        <v>-7.5279272675516413</v>
      </c>
    </row>
    <row r="991" spans="1:34" x14ac:dyDescent="0.25">
      <c r="A991" s="402">
        <f t="shared" ca="1" si="441"/>
        <v>1E-4</v>
      </c>
      <c r="B991" s="357">
        <f t="shared" ca="1" si="442"/>
        <v>47.406300000000549</v>
      </c>
      <c r="C991" s="342"/>
      <c r="D991" s="359">
        <f t="shared" ca="1" si="443"/>
        <v>-0.91600447735073276</v>
      </c>
      <c r="E991" s="360">
        <f t="shared" ca="1" si="444"/>
        <v>-2.3379781086705309</v>
      </c>
      <c r="F991" s="357">
        <f t="shared" ca="1" si="445"/>
        <v>2.5110168934416235</v>
      </c>
      <c r="G991" s="359">
        <f t="shared" ca="1" si="446"/>
        <v>20.571014806864262</v>
      </c>
      <c r="H991" s="360">
        <f t="shared" ca="1" si="447"/>
        <v>-167.8026421974474</v>
      </c>
      <c r="I991" s="357">
        <f t="shared" ca="1" si="448"/>
        <v>169.05884590469907</v>
      </c>
      <c r="J991" s="359">
        <f t="shared" ca="1" si="449"/>
        <v>1741.4112148507097</v>
      </c>
      <c r="K991" s="360">
        <f t="shared" ca="1" si="450"/>
        <v>-16.742018051854735</v>
      </c>
      <c r="L991" s="357">
        <f t="shared" ca="1" si="435"/>
        <v>1741.4916923075668</v>
      </c>
      <c r="M991" s="359">
        <f t="shared" ca="1" si="451"/>
        <v>-1.4488144329773009</v>
      </c>
      <c r="N991" s="357">
        <f t="shared" ca="1" si="452"/>
        <v>-83.010952307238824</v>
      </c>
      <c r="O991" s="343"/>
      <c r="P991" s="363">
        <f t="shared" ca="1" si="453"/>
        <v>23</v>
      </c>
      <c r="Q991" s="357">
        <f t="shared" ca="1" si="454"/>
        <v>0</v>
      </c>
      <c r="R991" s="359">
        <f t="shared" ca="1" si="455"/>
        <v>0</v>
      </c>
      <c r="S991" s="360">
        <f t="shared" ca="1" si="456"/>
        <v>10.637999999999975</v>
      </c>
      <c r="T991" s="357">
        <f t="shared" ca="1" si="436"/>
        <v>104.35877999999975</v>
      </c>
      <c r="U991" s="364">
        <f t="shared" ca="1" si="437"/>
        <v>0</v>
      </c>
      <c r="V991" s="359">
        <f t="shared" ca="1" si="438"/>
        <v>1.2270526154576045</v>
      </c>
      <c r="W991" s="357">
        <f t="shared" ca="1" si="439"/>
        <v>80.08277762156483</v>
      </c>
      <c r="X991" s="343"/>
      <c r="Y991" s="367" t="str">
        <f t="shared" ca="1" si="457"/>
        <v/>
      </c>
      <c r="Z991" s="368" t="str">
        <f t="shared" ca="1" si="458"/>
        <v/>
      </c>
      <c r="AA991" s="369" t="str">
        <f t="shared" ca="1" si="459"/>
        <v/>
      </c>
      <c r="AB991" s="344"/>
      <c r="AC991" s="363" t="e">
        <f t="shared" ca="1" si="460"/>
        <v>#N/A</v>
      </c>
      <c r="AD991" s="376" t="e">
        <f t="shared" ca="1" si="461"/>
        <v>#N/A</v>
      </c>
      <c r="AE991" s="377" t="e">
        <f t="shared" ca="1" si="440"/>
        <v>#N/A</v>
      </c>
      <c r="AF991" s="344"/>
      <c r="AG991" s="359">
        <f t="shared" ca="1" si="462"/>
        <v>2.2091456846362156</v>
      </c>
      <c r="AH991" s="357">
        <f t="shared" ca="1" si="463"/>
        <v>-7.5279595739505272</v>
      </c>
    </row>
    <row r="992" spans="1:34" x14ac:dyDescent="0.25">
      <c r="A992" s="402">
        <f t="shared" ca="1" si="441"/>
        <v>1E-4</v>
      </c>
      <c r="B992" s="357">
        <f t="shared" ca="1" si="442"/>
        <v>47.406400000000552</v>
      </c>
      <c r="C992" s="342"/>
      <c r="D992" s="359">
        <f t="shared" ca="1" si="443"/>
        <v>-0.91600313254734422</v>
      </c>
      <c r="E992" s="360">
        <f t="shared" ca="1" si="444"/>
        <v>-2.3379453957082914</v>
      </c>
      <c r="F992" s="357">
        <f t="shared" ca="1" si="445"/>
        <v>2.5109859442358786</v>
      </c>
      <c r="G992" s="359">
        <f t="shared" ca="1" si="446"/>
        <v>20.570923206551008</v>
      </c>
      <c r="H992" s="360">
        <f t="shared" ca="1" si="447"/>
        <v>-167.80287599198698</v>
      </c>
      <c r="I992" s="357">
        <f t="shared" ca="1" si="448"/>
        <v>169.05906681616335</v>
      </c>
      <c r="J992" s="359">
        <f t="shared" ca="1" si="449"/>
        <v>1741.4112148507097</v>
      </c>
      <c r="K992" s="360">
        <f t="shared" ca="1" si="450"/>
        <v>-16.758798327764207</v>
      </c>
      <c r="L992" s="357">
        <f t="shared" ca="1" si="435"/>
        <v>1741.4918537073941</v>
      </c>
      <c r="M992" s="359">
        <f t="shared" ca="1" si="451"/>
        <v>-1.4488151390482724</v>
      </c>
      <c r="N992" s="357">
        <f t="shared" ca="1" si="452"/>
        <v>-83.010992762125525</v>
      </c>
      <c r="O992" s="343"/>
      <c r="P992" s="363">
        <f t="shared" ca="1" si="453"/>
        <v>23</v>
      </c>
      <c r="Q992" s="357">
        <f t="shared" ca="1" si="454"/>
        <v>0</v>
      </c>
      <c r="R992" s="359">
        <f t="shared" ca="1" si="455"/>
        <v>0</v>
      </c>
      <c r="S992" s="360">
        <f t="shared" ca="1" si="456"/>
        <v>10.637999999999975</v>
      </c>
      <c r="T992" s="357">
        <f t="shared" ca="1" si="436"/>
        <v>104.35877999999975</v>
      </c>
      <c r="U992" s="364">
        <f t="shared" ca="1" si="437"/>
        <v>0</v>
      </c>
      <c r="V992" s="359">
        <f t="shared" ca="1" si="438"/>
        <v>1.2270546744889206</v>
      </c>
      <c r="W992" s="357">
        <f t="shared" ca="1" si="439"/>
        <v>80.083121293852116</v>
      </c>
      <c r="X992" s="343"/>
      <c r="Y992" s="367" t="str">
        <f t="shared" ca="1" si="457"/>
        <v/>
      </c>
      <c r="Z992" s="368" t="str">
        <f t="shared" ca="1" si="458"/>
        <v/>
      </c>
      <c r="AA992" s="369" t="str">
        <f t="shared" ca="1" si="459"/>
        <v/>
      </c>
      <c r="AB992" s="344"/>
      <c r="AC992" s="363" t="e">
        <f t="shared" ca="1" si="460"/>
        <v>#N/A</v>
      </c>
      <c r="AD992" s="376" t="e">
        <f t="shared" ca="1" si="461"/>
        <v>#N/A</v>
      </c>
      <c r="AE992" s="377" t="e">
        <f t="shared" ca="1" si="440"/>
        <v>#N/A</v>
      </c>
      <c r="AF992" s="344"/>
      <c r="AG992" s="359">
        <f t="shared" ca="1" si="462"/>
        <v>2.2091142212160433</v>
      </c>
      <c r="AH992" s="357">
        <f t="shared" ca="1" si="463"/>
        <v>-7.5279918801997576</v>
      </c>
    </row>
    <row r="993" spans="1:34" x14ac:dyDescent="0.25">
      <c r="A993" s="402">
        <f t="shared" ca="1" si="441"/>
        <v>1E-4</v>
      </c>
      <c r="B993" s="357">
        <f t="shared" ca="1" si="442"/>
        <v>47.406500000000555</v>
      </c>
      <c r="C993" s="342"/>
      <c r="D993" s="359">
        <f t="shared" ca="1" si="443"/>
        <v>-0.91600178771728935</v>
      </c>
      <c r="E993" s="360">
        <f t="shared" ca="1" si="444"/>
        <v>-2.337912682897338</v>
      </c>
      <c r="F993" s="357">
        <f t="shared" ca="1" si="445"/>
        <v>2.5109549952067041</v>
      </c>
      <c r="G993" s="359">
        <f t="shared" ca="1" si="446"/>
        <v>20.570831606372238</v>
      </c>
      <c r="H993" s="360">
        <f t="shared" ca="1" si="447"/>
        <v>-167.80310978325528</v>
      </c>
      <c r="I993" s="357">
        <f t="shared" ca="1" si="448"/>
        <v>169.05928772448129</v>
      </c>
      <c r="J993" s="359">
        <f t="shared" ca="1" si="449"/>
        <v>1741.4112148507097</v>
      </c>
      <c r="K993" s="360">
        <f t="shared" ca="1" si="450"/>
        <v>-16.775578627052969</v>
      </c>
      <c r="L993" s="357">
        <f t="shared" ca="1" si="435"/>
        <v>1741.4920152691188</v>
      </c>
      <c r="M993" s="359">
        <f t="shared" ca="1" si="451"/>
        <v>-1.4488158451142548</v>
      </c>
      <c r="N993" s="357">
        <f t="shared" ca="1" si="452"/>
        <v>-83.011033216726375</v>
      </c>
      <c r="O993" s="343"/>
      <c r="P993" s="363">
        <f t="shared" ca="1" si="453"/>
        <v>23</v>
      </c>
      <c r="Q993" s="357">
        <f t="shared" ca="1" si="454"/>
        <v>0</v>
      </c>
      <c r="R993" s="359">
        <f t="shared" ca="1" si="455"/>
        <v>0</v>
      </c>
      <c r="S993" s="360">
        <f t="shared" ca="1" si="456"/>
        <v>10.637999999999975</v>
      </c>
      <c r="T993" s="357">
        <f t="shared" ca="1" si="436"/>
        <v>104.35877999999975</v>
      </c>
      <c r="U993" s="364">
        <f t="shared" ca="1" si="437"/>
        <v>0</v>
      </c>
      <c r="V993" s="359">
        <f t="shared" ca="1" si="438"/>
        <v>1.2270567335265636</v>
      </c>
      <c r="W993" s="357">
        <f t="shared" ca="1" si="439"/>
        <v>80.083464964547389</v>
      </c>
      <c r="X993" s="343"/>
      <c r="Y993" s="367" t="str">
        <f t="shared" ca="1" si="457"/>
        <v/>
      </c>
      <c r="Z993" s="368" t="str">
        <f t="shared" ca="1" si="458"/>
        <v/>
      </c>
      <c r="AA993" s="369" t="str">
        <f t="shared" ca="1" si="459"/>
        <v/>
      </c>
      <c r="AB993" s="344"/>
      <c r="AC993" s="363" t="e">
        <f t="shared" ca="1" si="460"/>
        <v>#N/A</v>
      </c>
      <c r="AD993" s="376" t="e">
        <f t="shared" ca="1" si="461"/>
        <v>#N/A</v>
      </c>
      <c r="AE993" s="377" t="e">
        <f t="shared" ca="1" si="440"/>
        <v>#N/A</v>
      </c>
      <c r="AF993" s="344"/>
      <c r="AG993" s="359">
        <f t="shared" ca="1" si="462"/>
        <v>2.2090827579347172</v>
      </c>
      <c r="AH993" s="357">
        <f t="shared" ca="1" si="463"/>
        <v>-7.5280241862993327</v>
      </c>
    </row>
    <row r="994" spans="1:34" x14ac:dyDescent="0.25">
      <c r="A994" s="402">
        <f t="shared" ca="1" si="441"/>
        <v>1E-4</v>
      </c>
      <c r="B994" s="357">
        <f t="shared" ca="1" si="442"/>
        <v>47.406600000000559</v>
      </c>
      <c r="C994" s="342"/>
      <c r="D994" s="359">
        <f t="shared" ca="1" si="443"/>
        <v>-0.91600044286056581</v>
      </c>
      <c r="E994" s="360">
        <f t="shared" ca="1" si="444"/>
        <v>-2.3378799702376707</v>
      </c>
      <c r="F994" s="357">
        <f t="shared" ca="1" si="445"/>
        <v>2.5109240463540998</v>
      </c>
      <c r="G994" s="359">
        <f t="shared" ca="1" si="446"/>
        <v>20.570740006327952</v>
      </c>
      <c r="H994" s="360">
        <f t="shared" ca="1" si="447"/>
        <v>-167.8033435712523</v>
      </c>
      <c r="I994" s="357">
        <f t="shared" ca="1" si="448"/>
        <v>169.0595086296529</v>
      </c>
      <c r="J994" s="359">
        <f t="shared" ca="1" si="449"/>
        <v>1741.4112148507097</v>
      </c>
      <c r="K994" s="360">
        <f t="shared" ca="1" si="450"/>
        <v>-16.792358949720693</v>
      </c>
      <c r="L994" s="357">
        <f t="shared" ca="1" si="435"/>
        <v>1741.4921769927423</v>
      </c>
      <c r="M994" s="359">
        <f t="shared" ca="1" si="451"/>
        <v>-1.4488165511752478</v>
      </c>
      <c r="N994" s="357">
        <f t="shared" ca="1" si="452"/>
        <v>-83.011073671041345</v>
      </c>
      <c r="O994" s="343"/>
      <c r="P994" s="363">
        <f t="shared" ca="1" si="453"/>
        <v>23</v>
      </c>
      <c r="Q994" s="357">
        <f t="shared" ca="1" si="454"/>
        <v>0</v>
      </c>
      <c r="R994" s="359">
        <f t="shared" ca="1" si="455"/>
        <v>0</v>
      </c>
      <c r="S994" s="360">
        <f t="shared" ca="1" si="456"/>
        <v>10.637999999999975</v>
      </c>
      <c r="T994" s="357">
        <f t="shared" ca="1" si="436"/>
        <v>104.35877999999975</v>
      </c>
      <c r="U994" s="364">
        <f t="shared" ca="1" si="437"/>
        <v>0</v>
      </c>
      <c r="V994" s="359">
        <f t="shared" ca="1" si="438"/>
        <v>1.2270587925705334</v>
      </c>
      <c r="W994" s="357">
        <f t="shared" ca="1" si="439"/>
        <v>80.083808633650548</v>
      </c>
      <c r="X994" s="343"/>
      <c r="Y994" s="367" t="str">
        <f t="shared" ca="1" si="457"/>
        <v/>
      </c>
      <c r="Z994" s="368" t="str">
        <f t="shared" ca="1" si="458"/>
        <v/>
      </c>
      <c r="AA994" s="369" t="str">
        <f t="shared" ca="1" si="459"/>
        <v/>
      </c>
      <c r="AB994" s="344"/>
      <c r="AC994" s="363" t="e">
        <f t="shared" ca="1" si="460"/>
        <v>#N/A</v>
      </c>
      <c r="AD994" s="376" t="e">
        <f t="shared" ca="1" si="461"/>
        <v>#N/A</v>
      </c>
      <c r="AE994" s="377" t="e">
        <f t="shared" ca="1" si="440"/>
        <v>#N/A</v>
      </c>
      <c r="AF994" s="344"/>
      <c r="AG994" s="359">
        <f t="shared" ca="1" si="462"/>
        <v>2.2090512947922329</v>
      </c>
      <c r="AH994" s="357">
        <f t="shared" ca="1" si="463"/>
        <v>-7.528056492249255</v>
      </c>
    </row>
    <row r="995" spans="1:34" x14ac:dyDescent="0.25">
      <c r="A995" s="402">
        <f t="shared" ca="1" si="441"/>
        <v>1E-4</v>
      </c>
      <c r="B995" s="357">
        <f t="shared" ca="1" si="442"/>
        <v>47.406700000000562</v>
      </c>
      <c r="C995" s="342"/>
      <c r="D995" s="359">
        <f t="shared" ca="1" si="443"/>
        <v>-0.91599909797717483</v>
      </c>
      <c r="E995" s="360">
        <f t="shared" ca="1" si="444"/>
        <v>-2.3378472577292975</v>
      </c>
      <c r="F995" s="357">
        <f t="shared" ca="1" si="445"/>
        <v>2.5108930976780739</v>
      </c>
      <c r="G995" s="359">
        <f t="shared" ca="1" si="446"/>
        <v>20.570648406418155</v>
      </c>
      <c r="H995" s="360">
        <f t="shared" ca="1" si="447"/>
        <v>-167.80357735597806</v>
      </c>
      <c r="I995" s="357">
        <f t="shared" ca="1" si="448"/>
        <v>169.05972953167819</v>
      </c>
      <c r="J995" s="359">
        <f t="shared" ca="1" si="449"/>
        <v>1741.4112148507097</v>
      </c>
      <c r="K995" s="360">
        <f t="shared" ca="1" si="450"/>
        <v>-16.809139295767054</v>
      </c>
      <c r="L995" s="357">
        <f t="shared" ca="1" si="435"/>
        <v>1741.4923388782647</v>
      </c>
      <c r="M995" s="359">
        <f t="shared" ca="1" si="451"/>
        <v>-1.4488172572312517</v>
      </c>
      <c r="N995" s="357">
        <f t="shared" ca="1" si="452"/>
        <v>-83.011114125070463</v>
      </c>
      <c r="O995" s="343"/>
      <c r="P995" s="363">
        <f t="shared" ca="1" si="453"/>
        <v>23</v>
      </c>
      <c r="Q995" s="357">
        <f t="shared" ca="1" si="454"/>
        <v>0</v>
      </c>
      <c r="R995" s="359">
        <f t="shared" ca="1" si="455"/>
        <v>0</v>
      </c>
      <c r="S995" s="360">
        <f t="shared" ca="1" si="456"/>
        <v>10.637999999999975</v>
      </c>
      <c r="T995" s="357">
        <f t="shared" ca="1" si="436"/>
        <v>104.35877999999975</v>
      </c>
      <c r="U995" s="364">
        <f t="shared" ca="1" si="437"/>
        <v>0</v>
      </c>
      <c r="V995" s="359">
        <f t="shared" ca="1" si="438"/>
        <v>1.2270608516208297</v>
      </c>
      <c r="W995" s="357">
        <f t="shared" ca="1" si="439"/>
        <v>80.084152301161637</v>
      </c>
      <c r="X995" s="343"/>
      <c r="Y995" s="367" t="str">
        <f t="shared" ca="1" si="457"/>
        <v/>
      </c>
      <c r="Z995" s="368" t="str">
        <f t="shared" ca="1" si="458"/>
        <v/>
      </c>
      <c r="AA995" s="369" t="str">
        <f t="shared" ca="1" si="459"/>
        <v/>
      </c>
      <c r="AB995" s="344"/>
      <c r="AC995" s="363" t="e">
        <f t="shared" ca="1" si="460"/>
        <v>#N/A</v>
      </c>
      <c r="AD995" s="376" t="e">
        <f t="shared" ca="1" si="461"/>
        <v>#N/A</v>
      </c>
      <c r="AE995" s="377" t="e">
        <f t="shared" ca="1" si="440"/>
        <v>#N/A</v>
      </c>
      <c r="AF995" s="344"/>
      <c r="AG995" s="359">
        <f t="shared" ca="1" si="462"/>
        <v>2.2090198317886038</v>
      </c>
      <c r="AH995" s="357">
        <f t="shared" ca="1" si="463"/>
        <v>-7.5280887980495148</v>
      </c>
    </row>
    <row r="996" spans="1:34" x14ac:dyDescent="0.25">
      <c r="A996" s="402">
        <f t="shared" ca="1" si="441"/>
        <v>1E-4</v>
      </c>
      <c r="B996" s="357">
        <f t="shared" ca="1" si="442"/>
        <v>47.406800000000565</v>
      </c>
      <c r="C996" s="342"/>
      <c r="D996" s="359">
        <f t="shared" ca="1" si="443"/>
        <v>-0.91599775306711606</v>
      </c>
      <c r="E996" s="360">
        <f t="shared" ca="1" si="444"/>
        <v>-2.3378145453722166</v>
      </c>
      <c r="F996" s="357">
        <f t="shared" ca="1" si="445"/>
        <v>2.5108621491786263</v>
      </c>
      <c r="G996" s="359">
        <f t="shared" ca="1" si="446"/>
        <v>20.570556806642848</v>
      </c>
      <c r="H996" s="360">
        <f t="shared" ca="1" si="447"/>
        <v>-167.8038111374326</v>
      </c>
      <c r="I996" s="357">
        <f t="shared" ca="1" si="448"/>
        <v>169.05995043055725</v>
      </c>
      <c r="J996" s="359">
        <f t="shared" ca="1" si="449"/>
        <v>1741.4112148507097</v>
      </c>
      <c r="K996" s="360">
        <f t="shared" ca="1" si="450"/>
        <v>-16.825919665191723</v>
      </c>
      <c r="L996" s="357">
        <f t="shared" ca="1" si="435"/>
        <v>1741.492500925687</v>
      </c>
      <c r="M996" s="359">
        <f t="shared" ca="1" si="451"/>
        <v>-1.4488179632822664</v>
      </c>
      <c r="N996" s="357">
        <f t="shared" ca="1" si="452"/>
        <v>-83.011154578813731</v>
      </c>
      <c r="O996" s="343"/>
      <c r="P996" s="363">
        <f t="shared" ca="1" si="453"/>
        <v>23</v>
      </c>
      <c r="Q996" s="357">
        <f t="shared" ca="1" si="454"/>
        <v>0</v>
      </c>
      <c r="R996" s="359">
        <f t="shared" ca="1" si="455"/>
        <v>0</v>
      </c>
      <c r="S996" s="360">
        <f t="shared" ca="1" si="456"/>
        <v>10.637999999999975</v>
      </c>
      <c r="T996" s="357">
        <f t="shared" ca="1" si="436"/>
        <v>104.35877999999975</v>
      </c>
      <c r="U996" s="364">
        <f t="shared" ca="1" si="437"/>
        <v>0</v>
      </c>
      <c r="V996" s="359">
        <f t="shared" ca="1" si="438"/>
        <v>1.2270629106774529</v>
      </c>
      <c r="W996" s="357">
        <f t="shared" ca="1" si="439"/>
        <v>80.084495967080713</v>
      </c>
      <c r="X996" s="343"/>
      <c r="Y996" s="367" t="str">
        <f t="shared" ca="1" si="457"/>
        <v/>
      </c>
      <c r="Z996" s="368" t="str">
        <f t="shared" ca="1" si="458"/>
        <v/>
      </c>
      <c r="AA996" s="369" t="str">
        <f t="shared" ca="1" si="459"/>
        <v/>
      </c>
      <c r="AB996" s="344"/>
      <c r="AC996" s="363" t="e">
        <f t="shared" ca="1" si="460"/>
        <v>#N/A</v>
      </c>
      <c r="AD996" s="376" t="e">
        <f t="shared" ca="1" si="461"/>
        <v>#N/A</v>
      </c>
      <c r="AE996" s="377" t="e">
        <f t="shared" ca="1" si="440"/>
        <v>#N/A</v>
      </c>
      <c r="AF996" s="344"/>
      <c r="AG996" s="359">
        <f t="shared" ca="1" si="462"/>
        <v>2.2089883689238237</v>
      </c>
      <c r="AH996" s="357">
        <f t="shared" ca="1" si="463"/>
        <v>-7.5281211037001148</v>
      </c>
    </row>
    <row r="997" spans="1:34" x14ac:dyDescent="0.25">
      <c r="A997" s="402">
        <f t="shared" ca="1" si="441"/>
        <v>1E-4</v>
      </c>
      <c r="B997" s="357">
        <f t="shared" ca="1" si="442"/>
        <v>47.406900000000569</v>
      </c>
      <c r="C997" s="342"/>
      <c r="D997" s="359">
        <f t="shared" ca="1" si="443"/>
        <v>-0.91599640813039096</v>
      </c>
      <c r="E997" s="360">
        <f t="shared" ca="1" si="444"/>
        <v>-2.33778183316642</v>
      </c>
      <c r="F997" s="357">
        <f t="shared" ca="1" si="445"/>
        <v>2.5108312008557494</v>
      </c>
      <c r="G997" s="359">
        <f t="shared" ca="1" si="446"/>
        <v>20.570465207002034</v>
      </c>
      <c r="H997" s="360">
        <f t="shared" ca="1" si="447"/>
        <v>-167.80404491561592</v>
      </c>
      <c r="I997" s="357">
        <f t="shared" ca="1" si="448"/>
        <v>169.06017132628998</v>
      </c>
      <c r="J997" s="359">
        <f t="shared" ca="1" si="449"/>
        <v>1741.4112148507097</v>
      </c>
      <c r="K997" s="360">
        <f t="shared" ca="1" si="450"/>
        <v>-16.842700057994374</v>
      </c>
      <c r="L997" s="357">
        <f t="shared" ca="1" si="435"/>
        <v>1741.4926631350097</v>
      </c>
      <c r="M997" s="359">
        <f t="shared" ca="1" si="451"/>
        <v>-1.4488186693282921</v>
      </c>
      <c r="N997" s="357">
        <f t="shared" ca="1" si="452"/>
        <v>-83.011195032271146</v>
      </c>
      <c r="O997" s="343"/>
      <c r="P997" s="363">
        <f t="shared" ca="1" si="453"/>
        <v>23</v>
      </c>
      <c r="Q997" s="357">
        <f t="shared" ca="1" si="454"/>
        <v>0</v>
      </c>
      <c r="R997" s="359">
        <f t="shared" ca="1" si="455"/>
        <v>0</v>
      </c>
      <c r="S997" s="360">
        <f t="shared" ca="1" si="456"/>
        <v>10.637999999999975</v>
      </c>
      <c r="T997" s="357">
        <f t="shared" ca="1" si="436"/>
        <v>104.35877999999975</v>
      </c>
      <c r="U997" s="364">
        <f t="shared" ca="1" si="437"/>
        <v>0</v>
      </c>
      <c r="V997" s="359">
        <f t="shared" ca="1" si="438"/>
        <v>1.2270649697404028</v>
      </c>
      <c r="W997" s="357">
        <f t="shared" ca="1" si="439"/>
        <v>80.084839631407647</v>
      </c>
      <c r="X997" s="343"/>
      <c r="Y997" s="367" t="str">
        <f t="shared" ca="1" si="457"/>
        <v/>
      </c>
      <c r="Z997" s="368" t="str">
        <f t="shared" ca="1" si="458"/>
        <v/>
      </c>
      <c r="AA997" s="369" t="str">
        <f t="shared" ca="1" si="459"/>
        <v/>
      </c>
      <c r="AB997" s="344"/>
      <c r="AC997" s="363" t="e">
        <f t="shared" ca="1" si="460"/>
        <v>#N/A</v>
      </c>
      <c r="AD997" s="376" t="e">
        <f t="shared" ca="1" si="461"/>
        <v>#N/A</v>
      </c>
      <c r="AE997" s="377" t="e">
        <f t="shared" ca="1" si="440"/>
        <v>#N/A</v>
      </c>
      <c r="AF997" s="344"/>
      <c r="AG997" s="359">
        <f t="shared" ca="1" si="462"/>
        <v>2.2089569061978871</v>
      </c>
      <c r="AH997" s="357">
        <f t="shared" ca="1" si="463"/>
        <v>-7.528153409201062</v>
      </c>
    </row>
    <row r="998" spans="1:34" x14ac:dyDescent="0.25">
      <c r="A998" s="402">
        <f t="shared" ca="1" si="441"/>
        <v>1E-4</v>
      </c>
      <c r="B998" s="357">
        <f t="shared" ca="1" si="442"/>
        <v>47.407000000000572</v>
      </c>
      <c r="C998" s="342"/>
      <c r="D998" s="359">
        <f t="shared" ca="1" si="443"/>
        <v>-0.91599506316699897</v>
      </c>
      <c r="E998" s="360">
        <f t="shared" ca="1" si="444"/>
        <v>-2.337749121111921</v>
      </c>
      <c r="F998" s="357">
        <f t="shared" ca="1" si="445"/>
        <v>2.5108002527094571</v>
      </c>
      <c r="G998" s="359">
        <f t="shared" ca="1" si="446"/>
        <v>20.570373607495718</v>
      </c>
      <c r="H998" s="360">
        <f t="shared" ca="1" si="447"/>
        <v>-167.80427869052804</v>
      </c>
      <c r="I998" s="357">
        <f t="shared" ca="1" si="448"/>
        <v>169.0603922188765</v>
      </c>
      <c r="J998" s="359">
        <f t="shared" ca="1" si="449"/>
        <v>1741.4112148507097</v>
      </c>
      <c r="K998" s="360">
        <f t="shared" ca="1" si="450"/>
        <v>-16.859480474174681</v>
      </c>
      <c r="L998" s="357">
        <f t="shared" ca="1" si="435"/>
        <v>1741.4928255062332</v>
      </c>
      <c r="M998" s="359">
        <f t="shared" ca="1" si="451"/>
        <v>-1.4488193753693286</v>
      </c>
      <c r="N998" s="357">
        <f t="shared" ca="1" si="452"/>
        <v>-83.011235485442711</v>
      </c>
      <c r="O998" s="343"/>
      <c r="P998" s="363">
        <f t="shared" ca="1" si="453"/>
        <v>23</v>
      </c>
      <c r="Q998" s="357">
        <f t="shared" ca="1" si="454"/>
        <v>0</v>
      </c>
      <c r="R998" s="359">
        <f t="shared" ca="1" si="455"/>
        <v>0</v>
      </c>
      <c r="S998" s="360">
        <f t="shared" ca="1" si="456"/>
        <v>10.637999999999975</v>
      </c>
      <c r="T998" s="357">
        <f t="shared" ca="1" si="436"/>
        <v>104.35877999999975</v>
      </c>
      <c r="U998" s="364">
        <f t="shared" ca="1" si="437"/>
        <v>0</v>
      </c>
      <c r="V998" s="359">
        <f t="shared" ca="1" si="438"/>
        <v>1.2270670288096792</v>
      </c>
      <c r="W998" s="357">
        <f t="shared" ca="1" si="439"/>
        <v>80.085183294142539</v>
      </c>
      <c r="X998" s="343"/>
      <c r="Y998" s="367" t="str">
        <f t="shared" ca="1" si="457"/>
        <v/>
      </c>
      <c r="Z998" s="368" t="str">
        <f t="shared" ca="1" si="458"/>
        <v/>
      </c>
      <c r="AA998" s="369" t="str">
        <f t="shared" ca="1" si="459"/>
        <v/>
      </c>
      <c r="AB998" s="344"/>
      <c r="AC998" s="363" t="e">
        <f t="shared" ca="1" si="460"/>
        <v>#N/A</v>
      </c>
      <c r="AD998" s="376" t="e">
        <f t="shared" ca="1" si="461"/>
        <v>#N/A</v>
      </c>
      <c r="AE998" s="377" t="e">
        <f t="shared" ca="1" si="440"/>
        <v>#N/A</v>
      </c>
      <c r="AF998" s="344"/>
      <c r="AG998" s="359">
        <f t="shared" ca="1" si="462"/>
        <v>2.2089254436108066</v>
      </c>
      <c r="AH998" s="357">
        <f t="shared" ca="1" si="463"/>
        <v>-7.5281857145523441</v>
      </c>
    </row>
    <row r="999" spans="1:34" x14ac:dyDescent="0.25">
      <c r="A999" s="402">
        <f t="shared" ca="1" si="441"/>
        <v>1E-4</v>
      </c>
      <c r="B999" s="357">
        <f t="shared" ca="1" si="442"/>
        <v>47.407100000000575</v>
      </c>
      <c r="C999" s="342"/>
      <c r="D999" s="359">
        <f t="shared" ca="1" si="443"/>
        <v>-0.91599371817694164</v>
      </c>
      <c r="E999" s="360">
        <f t="shared" ca="1" si="444"/>
        <v>-2.3377164092087126</v>
      </c>
      <c r="F999" s="357">
        <f t="shared" ca="1" si="445"/>
        <v>2.5107693047397435</v>
      </c>
      <c r="G999" s="359">
        <f t="shared" ca="1" si="446"/>
        <v>20.5702820081239</v>
      </c>
      <c r="H999" s="360">
        <f t="shared" ca="1" si="447"/>
        <v>-167.80451246216896</v>
      </c>
      <c r="I999" s="357">
        <f t="shared" ca="1" si="448"/>
        <v>169.06061310831674</v>
      </c>
      <c r="J999" s="359">
        <f t="shared" ca="1" si="449"/>
        <v>1741.4112148507097</v>
      </c>
      <c r="K999" s="360">
        <f t="shared" ca="1" si="450"/>
        <v>-16.876260913732317</v>
      </c>
      <c r="L999" s="357">
        <f t="shared" ca="1" si="435"/>
        <v>1741.4929880393584</v>
      </c>
      <c r="M999" s="359">
        <f t="shared" ca="1" si="451"/>
        <v>-1.4488200814053762</v>
      </c>
      <c r="N999" s="357">
        <f t="shared" ca="1" si="452"/>
        <v>-83.011275938328424</v>
      </c>
      <c r="O999" s="343"/>
      <c r="P999" s="363">
        <f t="shared" ca="1" si="453"/>
        <v>23</v>
      </c>
      <c r="Q999" s="357">
        <f t="shared" ca="1" si="454"/>
        <v>0</v>
      </c>
      <c r="R999" s="359">
        <f t="shared" ca="1" si="455"/>
        <v>0</v>
      </c>
      <c r="S999" s="360">
        <f t="shared" ca="1" si="456"/>
        <v>10.637999999999975</v>
      </c>
      <c r="T999" s="357">
        <f t="shared" ca="1" si="436"/>
        <v>104.35877999999975</v>
      </c>
      <c r="U999" s="364">
        <f t="shared" ca="1" si="437"/>
        <v>0</v>
      </c>
      <c r="V999" s="359">
        <f t="shared" ca="1" si="438"/>
        <v>1.2270690878852828</v>
      </c>
      <c r="W999" s="357">
        <f t="shared" ca="1" si="439"/>
        <v>80.085526955285303</v>
      </c>
      <c r="X999" s="343"/>
      <c r="Y999" s="367" t="str">
        <f t="shared" ca="1" si="457"/>
        <v/>
      </c>
      <c r="Z999" s="368" t="str">
        <f t="shared" ca="1" si="458"/>
        <v/>
      </c>
      <c r="AA999" s="369" t="str">
        <f t="shared" ca="1" si="459"/>
        <v/>
      </c>
      <c r="AB999" s="344"/>
      <c r="AC999" s="363" t="e">
        <f t="shared" ca="1" si="460"/>
        <v>#N/A</v>
      </c>
      <c r="AD999" s="376" t="e">
        <f t="shared" ca="1" si="461"/>
        <v>#N/A</v>
      </c>
      <c r="AE999" s="377" t="e">
        <f t="shared" ca="1" si="440"/>
        <v>#N/A</v>
      </c>
      <c r="AF999" s="344"/>
      <c r="AG999" s="359">
        <f t="shared" ca="1" si="462"/>
        <v>2.2088939811625741</v>
      </c>
      <c r="AH999" s="357">
        <f t="shared" ca="1" si="463"/>
        <v>-7.528218019753969</v>
      </c>
    </row>
    <row r="1000" spans="1:34" x14ac:dyDescent="0.25">
      <c r="A1000" s="402">
        <f t="shared" ca="1" si="441"/>
        <v>1E-4</v>
      </c>
      <c r="B1000" s="357">
        <f t="shared" ca="1" si="442"/>
        <v>47.407200000000579</v>
      </c>
      <c r="C1000" s="342"/>
      <c r="D1000" s="359">
        <f t="shared" ca="1" si="443"/>
        <v>-0.91599237316021775</v>
      </c>
      <c r="E1000" s="360">
        <f t="shared" ca="1" si="444"/>
        <v>-2.3376836974567983</v>
      </c>
      <c r="F1000" s="357">
        <f t="shared" ca="1" si="445"/>
        <v>2.5107383569466126</v>
      </c>
      <c r="G1000" s="359">
        <f t="shared" ca="1" si="446"/>
        <v>20.570190408886585</v>
      </c>
      <c r="H1000" s="360">
        <f t="shared" ca="1" si="447"/>
        <v>-167.80474623053871</v>
      </c>
      <c r="I1000" s="357">
        <f t="shared" ca="1" si="448"/>
        <v>169.06083399461079</v>
      </c>
      <c r="J1000" s="359">
        <f t="shared" ca="1" si="449"/>
        <v>1741.4112148507097</v>
      </c>
      <c r="K1000" s="360">
        <f t="shared" ca="1" si="450"/>
        <v>-16.893041376666954</v>
      </c>
      <c r="L1000" s="357">
        <f t="shared" ca="1" si="435"/>
        <v>1741.4931507343858</v>
      </c>
      <c r="M1000" s="359">
        <f t="shared" ca="1" si="451"/>
        <v>-1.4488207874364352</v>
      </c>
      <c r="N1000" s="357">
        <f t="shared" ca="1" si="452"/>
        <v>-83.0113163909283</v>
      </c>
      <c r="O1000" s="343"/>
      <c r="P1000" s="363">
        <f t="shared" ca="1" si="453"/>
        <v>23</v>
      </c>
      <c r="Q1000" s="357">
        <f t="shared" ca="1" si="454"/>
        <v>0</v>
      </c>
      <c r="R1000" s="359">
        <f t="shared" ca="1" si="455"/>
        <v>0</v>
      </c>
      <c r="S1000" s="360">
        <f t="shared" ca="1" si="456"/>
        <v>10.637999999999975</v>
      </c>
      <c r="T1000" s="357">
        <f t="shared" ca="1" si="436"/>
        <v>104.35877999999975</v>
      </c>
      <c r="U1000" s="364">
        <f t="shared" ca="1" si="437"/>
        <v>0</v>
      </c>
      <c r="V1000" s="359">
        <f t="shared" ca="1" si="438"/>
        <v>1.2270711469672126</v>
      </c>
      <c r="W1000" s="357">
        <f t="shared" ca="1" si="439"/>
        <v>80.085870614835969</v>
      </c>
      <c r="X1000" s="343"/>
      <c r="Y1000" s="367" t="str">
        <f t="shared" ca="1" si="457"/>
        <v/>
      </c>
      <c r="Z1000" s="368" t="str">
        <f t="shared" ca="1" si="458"/>
        <v/>
      </c>
      <c r="AA1000" s="369" t="str">
        <f t="shared" ca="1" si="459"/>
        <v/>
      </c>
      <c r="AB1000" s="344"/>
      <c r="AC1000" s="363" t="e">
        <f t="shared" ca="1" si="460"/>
        <v>#N/A</v>
      </c>
      <c r="AD1000" s="376" t="e">
        <f t="shared" ca="1" si="461"/>
        <v>#N/A</v>
      </c>
      <c r="AE1000" s="377" t="e">
        <f t="shared" ca="1" si="440"/>
        <v>#N/A</v>
      </c>
      <c r="AF1000" s="344"/>
      <c r="AG1000" s="359">
        <f t="shared" ca="1" si="462"/>
        <v>2.2088625188531941</v>
      </c>
      <c r="AH1000" s="357">
        <f t="shared" ca="1" si="463"/>
        <v>-7.5282503248059305</v>
      </c>
    </row>
    <row r="1001" spans="1:34" x14ac:dyDescent="0.25">
      <c r="A1001" s="402">
        <f t="shared" ca="1" si="441"/>
        <v>1E-4</v>
      </c>
      <c r="B1001" s="357">
        <f t="shared" ca="1" si="442"/>
        <v>47.407300000000582</v>
      </c>
      <c r="C1001" s="342"/>
      <c r="D1001" s="359">
        <f t="shared" ca="1" si="443"/>
        <v>-0.9159910281168262</v>
      </c>
      <c r="E1001" s="360">
        <f t="shared" ca="1" si="444"/>
        <v>-2.337650985856178</v>
      </c>
      <c r="F1001" s="357">
        <f t="shared" ca="1" si="445"/>
        <v>2.5107074093300641</v>
      </c>
      <c r="G1001" s="359">
        <f t="shared" ca="1" si="446"/>
        <v>20.570098809783772</v>
      </c>
      <c r="H1001" s="360">
        <f t="shared" ca="1" si="447"/>
        <v>-167.8049799956373</v>
      </c>
      <c r="I1001" s="357">
        <f t="shared" ca="1" si="448"/>
        <v>169.06105487775858</v>
      </c>
      <c r="J1001" s="359">
        <f t="shared" ca="1" si="449"/>
        <v>1741.4112148507097</v>
      </c>
      <c r="K1001" s="360">
        <f t="shared" ca="1" si="450"/>
        <v>-16.909821862978262</v>
      </c>
      <c r="L1001" s="357">
        <f t="shared" ca="1" si="435"/>
        <v>1741.4933135913161</v>
      </c>
      <c r="M1001" s="359">
        <f t="shared" ca="1" si="451"/>
        <v>-1.448821493462505</v>
      </c>
      <c r="N1001" s="357">
        <f t="shared" ca="1" si="452"/>
        <v>-83.011356843242325</v>
      </c>
      <c r="O1001" s="343"/>
      <c r="P1001" s="363">
        <f t="shared" ca="1" si="453"/>
        <v>23</v>
      </c>
      <c r="Q1001" s="357">
        <f t="shared" ca="1" si="454"/>
        <v>0</v>
      </c>
      <c r="R1001" s="359">
        <f t="shared" ca="1" si="455"/>
        <v>0</v>
      </c>
      <c r="S1001" s="360">
        <f t="shared" ca="1" si="456"/>
        <v>10.637999999999975</v>
      </c>
      <c r="T1001" s="357">
        <f t="shared" ca="1" si="436"/>
        <v>104.35877999999975</v>
      </c>
      <c r="U1001" s="364">
        <f t="shared" ca="1" si="437"/>
        <v>0</v>
      </c>
      <c r="V1001" s="359">
        <f t="shared" ca="1" si="438"/>
        <v>1.227073206055469</v>
      </c>
      <c r="W1001" s="357">
        <f t="shared" ca="1" si="439"/>
        <v>80.086214272794464</v>
      </c>
      <c r="X1001" s="343"/>
      <c r="Y1001" s="367" t="str">
        <f t="shared" ca="1" si="457"/>
        <v/>
      </c>
      <c r="Z1001" s="368" t="str">
        <f t="shared" ca="1" si="458"/>
        <v/>
      </c>
      <c r="AA1001" s="369" t="str">
        <f t="shared" ca="1" si="459"/>
        <v/>
      </c>
      <c r="AB1001" s="344"/>
      <c r="AC1001" s="363" t="e">
        <f t="shared" ca="1" si="460"/>
        <v>#N/A</v>
      </c>
      <c r="AD1001" s="376" t="e">
        <f t="shared" ca="1" si="461"/>
        <v>#N/A</v>
      </c>
      <c r="AE1001" s="377" t="e">
        <f t="shared" ca="1" si="440"/>
        <v>#N/A</v>
      </c>
      <c r="AF1001" s="344"/>
      <c r="AG1001" s="359">
        <f t="shared" ca="1" si="462"/>
        <v>2.2088310566826701</v>
      </c>
      <c r="AH1001" s="357">
        <f t="shared" ca="1" si="463"/>
        <v>-7.5282826297082304</v>
      </c>
    </row>
    <row r="1002" spans="1:34" x14ac:dyDescent="0.25">
      <c r="A1002" s="402">
        <f t="shared" ca="1" si="441"/>
        <v>1E-4</v>
      </c>
      <c r="B1002" s="357">
        <f t="shared" ca="1" si="442"/>
        <v>47.407400000000585</v>
      </c>
      <c r="C1002" s="342"/>
      <c r="D1002" s="359">
        <f t="shared" ca="1" si="443"/>
        <v>-0.91598968304677064</v>
      </c>
      <c r="E1002" s="360">
        <f t="shared" ca="1" si="444"/>
        <v>-2.337618274406859</v>
      </c>
      <c r="F1002" s="357">
        <f t="shared" ca="1" si="445"/>
        <v>2.5106764618901067</v>
      </c>
      <c r="G1002" s="359">
        <f t="shared" ca="1" si="446"/>
        <v>20.570007210815469</v>
      </c>
      <c r="H1002" s="360">
        <f t="shared" ca="1" si="447"/>
        <v>-167.80521375746474</v>
      </c>
      <c r="I1002" s="357">
        <f t="shared" ca="1" si="448"/>
        <v>169.0612757577602</v>
      </c>
      <c r="J1002" s="359">
        <f t="shared" ca="1" si="449"/>
        <v>1741.4112148507097</v>
      </c>
      <c r="K1002" s="360">
        <f t="shared" ca="1" si="450"/>
        <v>-16.926602372665918</v>
      </c>
      <c r="L1002" s="357">
        <f t="shared" ca="1" si="435"/>
        <v>1741.4934766101499</v>
      </c>
      <c r="M1002" s="359">
        <f t="shared" ca="1" si="451"/>
        <v>-1.4488221994835861</v>
      </c>
      <c r="N1002" s="357">
        <f t="shared" ca="1" si="452"/>
        <v>-83.011397295270527</v>
      </c>
      <c r="O1002" s="343"/>
      <c r="P1002" s="363">
        <f t="shared" ca="1" si="453"/>
        <v>23</v>
      </c>
      <c r="Q1002" s="357">
        <f t="shared" ca="1" si="454"/>
        <v>0</v>
      </c>
      <c r="R1002" s="359">
        <f t="shared" ca="1" si="455"/>
        <v>0</v>
      </c>
      <c r="S1002" s="360">
        <f t="shared" ca="1" si="456"/>
        <v>10.637999999999975</v>
      </c>
      <c r="T1002" s="357">
        <f t="shared" ca="1" si="436"/>
        <v>104.35877999999975</v>
      </c>
      <c r="U1002" s="364">
        <f t="shared" ca="1" si="437"/>
        <v>0</v>
      </c>
      <c r="V1002" s="359">
        <f t="shared" ca="1" si="438"/>
        <v>1.2270752651500525</v>
      </c>
      <c r="W1002" s="357">
        <f t="shared" ca="1" si="439"/>
        <v>80.086557929160904</v>
      </c>
      <c r="X1002" s="343"/>
      <c r="Y1002" s="367" t="str">
        <f t="shared" ca="1" si="457"/>
        <v/>
      </c>
      <c r="Z1002" s="368" t="str">
        <f t="shared" ca="1" si="458"/>
        <v/>
      </c>
      <c r="AA1002" s="369" t="str">
        <f t="shared" ca="1" si="459"/>
        <v/>
      </c>
      <c r="AB1002" s="344"/>
      <c r="AC1002" s="363" t="e">
        <f t="shared" ca="1" si="460"/>
        <v>#N/A</v>
      </c>
      <c r="AD1002" s="376" t="e">
        <f t="shared" ca="1" si="461"/>
        <v>#N/A</v>
      </c>
      <c r="AE1002" s="377" t="e">
        <f t="shared" ca="1" si="440"/>
        <v>#N/A</v>
      </c>
      <c r="AF1002" s="344"/>
      <c r="AG1002" s="359">
        <f t="shared" ca="1" si="462"/>
        <v>2.2087995946510048</v>
      </c>
      <c r="AH1002" s="357">
        <f t="shared" ca="1" si="463"/>
        <v>-7.5283149344608624</v>
      </c>
    </row>
    <row r="1003" spans="1:34" x14ac:dyDescent="0.25">
      <c r="A1003" s="402">
        <f t="shared" ca="1" si="441"/>
        <v>1E-4</v>
      </c>
      <c r="B1003" s="357">
        <f t="shared" ca="1" si="442"/>
        <v>47.407500000000589</v>
      </c>
      <c r="C1003" s="342"/>
      <c r="D1003" s="359">
        <f t="shared" ca="1" si="443"/>
        <v>-0.91598833795004975</v>
      </c>
      <c r="E1003" s="360">
        <f t="shared" ca="1" si="444"/>
        <v>-2.3375855631088296</v>
      </c>
      <c r="F1003" s="357">
        <f t="shared" ca="1" si="445"/>
        <v>2.5106455146267304</v>
      </c>
      <c r="G1003" s="359">
        <f t="shared" ca="1" si="446"/>
        <v>20.569915611981674</v>
      </c>
      <c r="H1003" s="360">
        <f t="shared" ca="1" si="447"/>
        <v>-167.80544751602105</v>
      </c>
      <c r="I1003" s="357">
        <f t="shared" ca="1" si="448"/>
        <v>169.06149663461559</v>
      </c>
      <c r="J1003" s="359">
        <f t="shared" ca="1" si="449"/>
        <v>1741.4112148507097</v>
      </c>
      <c r="K1003" s="360">
        <f t="shared" ca="1" si="450"/>
        <v>-16.943382905729592</v>
      </c>
      <c r="L1003" s="357">
        <f t="shared" ca="1" si="435"/>
        <v>1741.4936397908878</v>
      </c>
      <c r="M1003" s="359">
        <f t="shared" ca="1" si="451"/>
        <v>-1.4488229054996784</v>
      </c>
      <c r="N1003" s="357">
        <f t="shared" ca="1" si="452"/>
        <v>-83.011437747012877</v>
      </c>
      <c r="O1003" s="343"/>
      <c r="P1003" s="363">
        <f t="shared" ca="1" si="453"/>
        <v>23</v>
      </c>
      <c r="Q1003" s="357">
        <f t="shared" ca="1" si="454"/>
        <v>0</v>
      </c>
      <c r="R1003" s="359">
        <f t="shared" ca="1" si="455"/>
        <v>0</v>
      </c>
      <c r="S1003" s="360">
        <f t="shared" ca="1" si="456"/>
        <v>10.637999999999975</v>
      </c>
      <c r="T1003" s="357">
        <f t="shared" ca="1" si="436"/>
        <v>104.35877999999975</v>
      </c>
      <c r="U1003" s="364">
        <f t="shared" ca="1" si="437"/>
        <v>0</v>
      </c>
      <c r="V1003" s="359">
        <f ca="1">Rho_moyen*(20000-Alt_rampe-pos_z)/(20000+Alt_rampe+pos_z)</f>
        <v>1.2270773242509623</v>
      </c>
      <c r="W1003" s="357">
        <f t="shared" ca="1" si="439"/>
        <v>80.086901583935116</v>
      </c>
      <c r="X1003" s="343"/>
      <c r="Y1003" s="367" t="str">
        <f t="shared" ca="1" si="457"/>
        <v/>
      </c>
      <c r="Z1003" s="368" t="str">
        <f t="shared" ca="1" si="458"/>
        <v/>
      </c>
      <c r="AA1003" s="369" t="str">
        <f t="shared" ca="1" si="459"/>
        <v/>
      </c>
      <c r="AB1003" s="344"/>
      <c r="AC1003" s="363" t="e">
        <f t="shared" ca="1" si="460"/>
        <v>#N/A</v>
      </c>
      <c r="AD1003" s="376" t="e">
        <f t="shared" ca="1" si="461"/>
        <v>#N/A</v>
      </c>
      <c r="AE1003" s="377" t="e">
        <f t="shared" ca="1" si="440"/>
        <v>#N/A</v>
      </c>
      <c r="AF1003" s="344"/>
      <c r="AG1003" s="359">
        <f t="shared" ca="1" si="462"/>
        <v>2.2087681327581903</v>
      </c>
      <c r="AH1003" s="357">
        <f t="shared" ca="1" si="463"/>
        <v>-7.5283472390638364</v>
      </c>
    </row>
    <row r="1004" spans="1:34" x14ac:dyDescent="0.25">
      <c r="A1004" s="403">
        <f t="shared" ca="1" si="441"/>
        <v>1E-4</v>
      </c>
      <c r="B1004" s="358">
        <f t="shared" ca="1" si="442"/>
        <v>47.407600000000592</v>
      </c>
      <c r="C1004" s="342"/>
      <c r="D1004" s="361">
        <f t="shared" ca="1" si="443"/>
        <v>-0.91598699282666407</v>
      </c>
      <c r="E1004" s="362">
        <f t="shared" ca="1" si="444"/>
        <v>-2.3375528519621058</v>
      </c>
      <c r="F1004" s="358">
        <f t="shared" ca="1" si="445"/>
        <v>2.51061456753995</v>
      </c>
      <c r="G1004" s="361">
        <f t="shared" ca="1" si="446"/>
        <v>20.569824013282393</v>
      </c>
      <c r="H1004" s="362">
        <f t="shared" ca="1" si="447"/>
        <v>-167.80568127130624</v>
      </c>
      <c r="I1004" s="358">
        <f t="shared" ca="1" si="448"/>
        <v>169.06171750832482</v>
      </c>
      <c r="J1004" s="361">
        <f t="shared" ca="1" si="449"/>
        <v>1741.4112148507097</v>
      </c>
      <c r="K1004" s="362">
        <f t="shared" ca="1" si="450"/>
        <v>-16.960163462168957</v>
      </c>
      <c r="L1004" s="358">
        <f t="shared" ca="1" si="435"/>
        <v>1741.4938031335305</v>
      </c>
      <c r="M1004" s="361">
        <f t="shared" ca="1" si="451"/>
        <v>-1.4488236115107822</v>
      </c>
      <c r="N1004" s="358">
        <f t="shared" ca="1" si="452"/>
        <v>-83.011478198469419</v>
      </c>
      <c r="O1004" s="343"/>
      <c r="P1004" s="365">
        <f t="shared" ca="1" si="453"/>
        <v>23</v>
      </c>
      <c r="Q1004" s="358">
        <f t="shared" ca="1" si="454"/>
        <v>0</v>
      </c>
      <c r="R1004" s="361">
        <f t="shared" ca="1" si="455"/>
        <v>0</v>
      </c>
      <c r="S1004" s="362">
        <f t="shared" ca="1" si="456"/>
        <v>10.637999999999975</v>
      </c>
      <c r="T1004" s="358">
        <f t="shared" ca="1" si="436"/>
        <v>104.35877999999975</v>
      </c>
      <c r="U1004" s="366">
        <f t="shared" ca="1" si="437"/>
        <v>0</v>
      </c>
      <c r="V1004" s="361">
        <f t="shared" ca="1" si="438"/>
        <v>1.2270793833581985</v>
      </c>
      <c r="W1004" s="358">
        <f ca="1">1/2*Rho*Sref*Cx*vit_xz^2</f>
        <v>80.087245237117202</v>
      </c>
      <c r="X1004" s="343"/>
      <c r="Y1004" s="370" t="str">
        <f ca="1">IF(AND(pos_z&lt;=0,K1003&gt;0),"Impact balistique","") &amp; IF(AND(H1005&lt;0,vit_z&gt;=0),"Apogée","") &amp; IF(AND(Poussee=0,Q1003&gt;0),"Fin de propulsion","") &amp; IF(AND(L1005&gt;L_rampe,pos_xz&lt;=L_rampe),"Sortie de rampe","")</f>
        <v/>
      </c>
      <c r="Z1004" s="371" t="str">
        <f t="shared" ca="1" si="458"/>
        <v/>
      </c>
      <c r="AA1004" s="372" t="str">
        <f t="shared" ca="1" si="459"/>
        <v/>
      </c>
      <c r="AB1004" s="344"/>
      <c r="AC1004" s="365" t="e">
        <f t="shared" ca="1" si="460"/>
        <v>#N/A</v>
      </c>
      <c r="AD1004" s="378" t="e">
        <f t="shared" ca="1" si="461"/>
        <v>#N/A</v>
      </c>
      <c r="AE1004" s="379" t="e">
        <f t="shared" ca="1" si="440"/>
        <v>#N/A</v>
      </c>
      <c r="AF1004" s="344"/>
      <c r="AG1004" s="361">
        <f t="shared" ca="1" si="462"/>
        <v>2.208736671004238</v>
      </c>
      <c r="AH1004" s="358">
        <f t="shared" ca="1" si="463"/>
        <v>-7.5283795435171372</v>
      </c>
    </row>
    <row r="1005" spans="1:34" x14ac:dyDescent="0.25">
      <c r="Y1005" s="356"/>
    </row>
    <row r="1010" spans="12:12" x14ac:dyDescent="0.25">
      <c r="L1010"/>
    </row>
    <row r="1034" spans="5:25" x14ac:dyDescent="0.25">
      <c r="E1034" s="353" t="s">
        <v>255</v>
      </c>
      <c r="J1034" s="354" t="s">
        <v>247</v>
      </c>
      <c r="T1034" s="353" t="s">
        <v>246</v>
      </c>
      <c r="Y1034" s="355" t="s">
        <v>249</v>
      </c>
    </row>
    <row r="1035" spans="5:25" x14ac:dyDescent="0.25">
      <c r="E1035" s="352" t="s">
        <v>259</v>
      </c>
    </row>
    <row r="1036" spans="5:25" x14ac:dyDescent="0.25">
      <c r="E1036" s="352"/>
      <c r="T1036" s="352" t="s">
        <v>252</v>
      </c>
    </row>
    <row r="1037" spans="5:25" x14ac:dyDescent="0.25">
      <c r="E1037" s="352"/>
      <c r="T1037" s="352" t="s">
        <v>256</v>
      </c>
    </row>
    <row r="1038" spans="5:25" x14ac:dyDescent="0.25">
      <c r="E1038" s="352"/>
      <c r="T1038" s="352" t="s">
        <v>257</v>
      </c>
    </row>
    <row r="1039" spans="5:25" x14ac:dyDescent="0.25">
      <c r="E1039" s="352"/>
      <c r="T1039" s="352" t="s">
        <v>263</v>
      </c>
    </row>
    <row r="1040" spans="5:25" x14ac:dyDescent="0.25">
      <c r="E1040" s="352" t="s">
        <v>258</v>
      </c>
      <c r="T1040" s="352" t="s">
        <v>248</v>
      </c>
    </row>
    <row r="1041" spans="5:20" x14ac:dyDescent="0.25">
      <c r="E1041" s="352"/>
      <c r="T1041" s="352" t="s">
        <v>264</v>
      </c>
    </row>
    <row r="1042" spans="5:20" x14ac:dyDescent="0.25">
      <c r="E1042" s="352"/>
      <c r="R1042" s="356"/>
      <c r="T1042" s="352"/>
    </row>
    <row r="1043" spans="5:20" x14ac:dyDescent="0.25">
      <c r="E1043" s="352"/>
    </row>
    <row r="1044" spans="5:20" x14ac:dyDescent="0.25">
      <c r="E1044" s="352"/>
    </row>
    <row r="1045" spans="5:20" x14ac:dyDescent="0.25">
      <c r="E1045" s="352" t="s">
        <v>261</v>
      </c>
      <c r="R1045" s="356"/>
      <c r="T1045" s="352"/>
    </row>
    <row r="1046" spans="5:20" x14ac:dyDescent="0.25">
      <c r="E1046" s="352"/>
    </row>
    <row r="1047" spans="5:20" x14ac:dyDescent="0.25">
      <c r="E1047" s="352"/>
    </row>
    <row r="1048" spans="5:20" x14ac:dyDescent="0.25">
      <c r="E1048" s="352"/>
      <c r="T1048" s="351" t="s">
        <v>254</v>
      </c>
    </row>
    <row r="1049" spans="5:20" x14ac:dyDescent="0.25">
      <c r="E1049" s="352"/>
    </row>
    <row r="1050" spans="5:20" x14ac:dyDescent="0.25">
      <c r="E1050" s="352" t="s">
        <v>262</v>
      </c>
    </row>
    <row r="1053" spans="5:20" x14ac:dyDescent="0.25">
      <c r="T1053" s="351" t="s">
        <v>269</v>
      </c>
    </row>
    <row r="1055" spans="5:20" x14ac:dyDescent="0.25">
      <c r="E1055" s="352" t="s">
        <v>251</v>
      </c>
    </row>
    <row r="1058" spans="5:20" x14ac:dyDescent="0.25">
      <c r="T1058" s="352" t="s">
        <v>270</v>
      </c>
    </row>
    <row r="1060" spans="5:20" x14ac:dyDescent="0.25">
      <c r="E1060" s="352" t="s">
        <v>260</v>
      </c>
    </row>
    <row r="1061" spans="5:20" x14ac:dyDescent="0.25">
      <c r="E1061" s="352"/>
    </row>
    <row r="1062" spans="5:20" x14ac:dyDescent="0.25">
      <c r="E1062" s="352"/>
    </row>
    <row r="1063" spans="5:20" x14ac:dyDescent="0.25">
      <c r="E1063" s="352"/>
    </row>
    <row r="1064" spans="5:20" x14ac:dyDescent="0.25">
      <c r="E1064" s="352"/>
    </row>
    <row r="1065" spans="5:20" x14ac:dyDescent="0.25">
      <c r="E1065" s="352" t="s">
        <v>250</v>
      </c>
    </row>
    <row r="1066" spans="5:20" x14ac:dyDescent="0.25">
      <c r="E1066" s="352"/>
    </row>
    <row r="1067" spans="5:20" x14ac:dyDescent="0.25">
      <c r="E1067" s="352"/>
    </row>
    <row r="1068" spans="5:20" x14ac:dyDescent="0.25">
      <c r="E1068" s="352"/>
    </row>
    <row r="1069" spans="5:20" x14ac:dyDescent="0.25">
      <c r="E1069" s="352"/>
    </row>
    <row r="1070" spans="5:20" x14ac:dyDescent="0.25">
      <c r="E1070" s="352" t="s">
        <v>253</v>
      </c>
    </row>
    <row r="1071" spans="5:20" x14ac:dyDescent="0.25">
      <c r="E1071" s="352"/>
    </row>
    <row r="1072" spans="5:20" x14ac:dyDescent="0.25">
      <c r="E1072" s="352"/>
    </row>
    <row r="1073" spans="5:5" x14ac:dyDescent="0.25">
      <c r="E1073" s="352"/>
    </row>
    <row r="1074" spans="5:5" x14ac:dyDescent="0.25">
      <c r="E1074" s="352"/>
    </row>
    <row r="1075" spans="5:5" x14ac:dyDescent="0.25">
      <c r="E1075" s="352" t="s">
        <v>265</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15240</xdr:colOff>
                <xdr:row>1010</xdr:row>
                <xdr:rowOff>99060</xdr:rowOff>
              </from>
              <to>
                <xdr:col>20</xdr:col>
                <xdr:colOff>289560</xdr:colOff>
                <xdr:row>1013</xdr:row>
                <xdr:rowOff>22860</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22860</xdr:colOff>
                <xdr:row>1024</xdr:row>
                <xdr:rowOff>160020</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251460</xdr:colOff>
                <xdr:row>1006</xdr:row>
                <xdr:rowOff>22860</xdr:rowOff>
              </from>
              <to>
                <xdr:col>24</xdr:col>
                <xdr:colOff>152400</xdr:colOff>
                <xdr:row>1007</xdr:row>
                <xdr:rowOff>99060</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15240</xdr:colOff>
                <xdr:row>1017</xdr:row>
                <xdr:rowOff>167640</xdr:rowOff>
              </from>
              <to>
                <xdr:col>10</xdr:col>
                <xdr:colOff>586740</xdr:colOff>
                <xdr:row>1019</xdr:row>
                <xdr:rowOff>137160</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15240</xdr:colOff>
                <xdr:row>1014</xdr:row>
                <xdr:rowOff>175260</xdr:rowOff>
              </from>
              <to>
                <xdr:col>11</xdr:col>
                <xdr:colOff>266700</xdr:colOff>
                <xdr:row>1016</xdr:row>
                <xdr:rowOff>68580</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15240</xdr:colOff>
                <xdr:row>1016</xdr:row>
                <xdr:rowOff>76200</xdr:rowOff>
              </from>
              <to>
                <xdr:col>11</xdr:col>
                <xdr:colOff>236220</xdr:colOff>
                <xdr:row>1017</xdr:row>
                <xdr:rowOff>160020</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68580</xdr:rowOff>
              </from>
              <to>
                <xdr:col>17</xdr:col>
                <xdr:colOff>274320</xdr:colOff>
                <xdr:row>1024</xdr:row>
                <xdr:rowOff>167640</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236220</xdr:colOff>
                <xdr:row>1010</xdr:row>
                <xdr:rowOff>91440</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99060</xdr:rowOff>
              </from>
              <to>
                <xdr:col>12</xdr:col>
                <xdr:colOff>243840</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15240</xdr:colOff>
                <xdr:row>1006</xdr:row>
                <xdr:rowOff>99060</xdr:rowOff>
              </from>
              <to>
                <xdr:col>3</xdr:col>
                <xdr:colOff>541020</xdr:colOff>
                <xdr:row>1007</xdr:row>
                <xdr:rowOff>175260</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175260</xdr:rowOff>
              </from>
              <to>
                <xdr:col>16</xdr:col>
                <xdr:colOff>0</xdr:colOff>
                <xdr:row>1026</xdr:row>
                <xdr:rowOff>144780</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15240</xdr:colOff>
                <xdr:row>1013</xdr:row>
                <xdr:rowOff>30480</xdr:rowOff>
              </from>
              <to>
                <xdr:col>21</xdr:col>
                <xdr:colOff>22860</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15240</xdr:colOff>
                <xdr:row>1005</xdr:row>
                <xdr:rowOff>15240</xdr:rowOff>
              </from>
              <to>
                <xdr:col>10</xdr:col>
                <xdr:colOff>403860</xdr:colOff>
                <xdr:row>1006</xdr:row>
                <xdr:rowOff>91440</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15240</xdr:rowOff>
              </from>
              <to>
                <xdr:col>8</xdr:col>
                <xdr:colOff>190500</xdr:colOff>
                <xdr:row>1014</xdr:row>
                <xdr:rowOff>167640</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15240</xdr:colOff>
                <xdr:row>1018</xdr:row>
                <xdr:rowOff>53340</xdr:rowOff>
              </from>
              <to>
                <xdr:col>24</xdr:col>
                <xdr:colOff>1082040</xdr:colOff>
                <xdr:row>1019</xdr:row>
                <xdr:rowOff>137160</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144780</xdr:rowOff>
              </from>
              <to>
                <xdr:col>20</xdr:col>
                <xdr:colOff>579120</xdr:colOff>
                <xdr:row>1022</xdr:row>
                <xdr:rowOff>53340</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53340</xdr:rowOff>
              </from>
              <to>
                <xdr:col>19</xdr:col>
                <xdr:colOff>182880</xdr:colOff>
                <xdr:row>1019</xdr:row>
                <xdr:rowOff>137160</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15240</xdr:colOff>
                <xdr:row>1007</xdr:row>
                <xdr:rowOff>121920</xdr:rowOff>
              </from>
              <to>
                <xdr:col>37</xdr:col>
                <xdr:colOff>281940</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15240</xdr:colOff>
                <xdr:row>1010</xdr:row>
                <xdr:rowOff>91440</xdr:rowOff>
              </from>
              <to>
                <xdr:col>35</xdr:col>
                <xdr:colOff>723900</xdr:colOff>
                <xdr:row>1013</xdr:row>
                <xdr:rowOff>45720</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22860</xdr:rowOff>
              </from>
              <to>
                <xdr:col>11</xdr:col>
                <xdr:colOff>556260</xdr:colOff>
                <xdr:row>1038</xdr:row>
                <xdr:rowOff>22860</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22860</xdr:rowOff>
              </from>
              <to>
                <xdr:col>12</xdr:col>
                <xdr:colOff>30480</xdr:colOff>
                <xdr:row>1043</xdr:row>
                <xdr:rowOff>22860</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15240</xdr:colOff>
                <xdr:row>1014</xdr:row>
                <xdr:rowOff>121920</xdr:rowOff>
              </from>
              <to>
                <xdr:col>20</xdr:col>
                <xdr:colOff>335280</xdr:colOff>
                <xdr:row>1016</xdr:row>
                <xdr:rowOff>15240</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251460</xdr:colOff>
                <xdr:row>1007</xdr:row>
                <xdr:rowOff>114300</xdr:rowOff>
              </from>
              <to>
                <xdr:col>32</xdr:col>
                <xdr:colOff>167640</xdr:colOff>
                <xdr:row>1010</xdr:row>
                <xdr:rowOff>91440</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30480</xdr:rowOff>
              </from>
              <to>
                <xdr:col>12</xdr:col>
                <xdr:colOff>335280</xdr:colOff>
                <xdr:row>1058</xdr:row>
                <xdr:rowOff>53340</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30480</xdr:rowOff>
              </from>
              <to>
                <xdr:col>15</xdr:col>
                <xdr:colOff>53340</xdr:colOff>
                <xdr:row>1063</xdr:row>
                <xdr:rowOff>53340</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30480</xdr:rowOff>
              </from>
              <to>
                <xdr:col>16</xdr:col>
                <xdr:colOff>670560</xdr:colOff>
                <xdr:row>1068</xdr:row>
                <xdr:rowOff>53340</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30480</xdr:rowOff>
              </from>
              <to>
                <xdr:col>16</xdr:col>
                <xdr:colOff>106680</xdr:colOff>
                <xdr:row>1048</xdr:row>
                <xdr:rowOff>30480</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30480</xdr:rowOff>
              </from>
              <to>
                <xdr:col>16</xdr:col>
                <xdr:colOff>388620</xdr:colOff>
                <xdr:row>1053</xdr:row>
                <xdr:rowOff>53340</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30480</xdr:rowOff>
              </from>
              <to>
                <xdr:col>12</xdr:col>
                <xdr:colOff>411480</xdr:colOff>
                <xdr:row>1073</xdr:row>
                <xdr:rowOff>53340</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30480</xdr:rowOff>
              </from>
              <to>
                <xdr:col>32</xdr:col>
                <xdr:colOff>419100</xdr:colOff>
                <xdr:row>1056</xdr:row>
                <xdr:rowOff>30480</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22860</xdr:colOff>
                <xdr:row>1022</xdr:row>
                <xdr:rowOff>53340</xdr:rowOff>
              </from>
              <to>
                <xdr:col>32</xdr:col>
                <xdr:colOff>266700</xdr:colOff>
                <xdr:row>1024</xdr:row>
                <xdr:rowOff>137160</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22860</xdr:rowOff>
              </from>
              <to>
                <xdr:col>36</xdr:col>
                <xdr:colOff>167640</xdr:colOff>
                <xdr:row>1020</xdr:row>
                <xdr:rowOff>22860</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701040</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45720</xdr:rowOff>
              </from>
              <to>
                <xdr:col>35</xdr:col>
                <xdr:colOff>137160</xdr:colOff>
                <xdr:row>1023</xdr:row>
                <xdr:rowOff>45720</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68580</xdr:rowOff>
              </from>
              <to>
                <xdr:col>36</xdr:col>
                <xdr:colOff>53340</xdr:colOff>
                <xdr:row>1026</xdr:row>
                <xdr:rowOff>68580</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30480</xdr:rowOff>
              </from>
              <to>
                <xdr:col>34</xdr:col>
                <xdr:colOff>350520</xdr:colOff>
                <xdr:row>1051</xdr:row>
                <xdr:rowOff>91440</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79"/>
  <sheetViews>
    <sheetView showGridLines="0" workbookViewId="0">
      <selection activeCell="B80" sqref="B80"/>
    </sheetView>
  </sheetViews>
  <sheetFormatPr baseColWidth="10" defaultRowHeight="13.2" x14ac:dyDescent="0.25"/>
  <cols>
    <col min="1" max="1" width="2.21875" customWidth="1"/>
    <col min="2" max="2" width="16.21875" customWidth="1"/>
    <col min="3" max="4" width="11.33203125" customWidth="1"/>
  </cols>
  <sheetData>
    <row r="1" spans="1:13" x14ac:dyDescent="0.25">
      <c r="A1" s="72"/>
      <c r="B1" s="73"/>
      <c r="C1" s="74"/>
      <c r="D1" s="73"/>
      <c r="E1" s="94"/>
      <c r="F1" s="94"/>
      <c r="G1" s="94"/>
      <c r="H1" s="94"/>
      <c r="I1" s="94"/>
      <c r="J1" s="94"/>
      <c r="K1" s="94"/>
      <c r="L1" s="94"/>
      <c r="M1" s="95"/>
    </row>
    <row r="2" spans="1:13" ht="12.75" customHeight="1" x14ac:dyDescent="0.25">
      <c r="A2" s="77"/>
      <c r="B2" s="2"/>
      <c r="C2" s="735" t="s">
        <v>282</v>
      </c>
      <c r="D2" s="735"/>
      <c r="E2" s="81"/>
      <c r="F2" s="81"/>
      <c r="G2" s="81"/>
      <c r="H2" s="81"/>
      <c r="I2" s="81"/>
      <c r="J2" s="81"/>
      <c r="K2" s="81"/>
      <c r="L2" s="81"/>
      <c r="M2" s="97"/>
    </row>
    <row r="3" spans="1:13" ht="12.75" customHeight="1" x14ac:dyDescent="0.25">
      <c r="A3" s="77"/>
      <c r="B3" s="2"/>
      <c r="C3" s="735"/>
      <c r="D3" s="735"/>
      <c r="E3" s="81"/>
      <c r="F3" s="81"/>
      <c r="G3" s="81"/>
      <c r="H3" s="81"/>
      <c r="I3" s="81"/>
      <c r="J3" s="81"/>
      <c r="K3" s="81"/>
      <c r="L3" s="81"/>
      <c r="M3" s="97"/>
    </row>
    <row r="4" spans="1:13" x14ac:dyDescent="0.25">
      <c r="A4" s="77"/>
      <c r="B4" s="2"/>
      <c r="C4" s="738" t="str">
        <f>IF(Lang="Français","Abaques de performance",IF(Lang="English","Performance charts",""))</f>
        <v>Abaques de performance</v>
      </c>
      <c r="D4" s="738"/>
      <c r="E4" s="81"/>
      <c r="F4" s="81"/>
      <c r="G4" s="81"/>
      <c r="H4" s="81"/>
      <c r="I4" s="81"/>
      <c r="J4" s="81"/>
      <c r="K4" s="81"/>
      <c r="L4" s="81"/>
      <c r="M4" s="97"/>
    </row>
    <row r="5" spans="1:13" x14ac:dyDescent="0.25">
      <c r="A5" s="77"/>
      <c r="B5" s="2"/>
      <c r="C5" s="738" t="str">
        <f>IF(Lang="Français","Calcul analytique simple",IF(Lang="English","Analytical computation",""))</f>
        <v>Calcul analytique simple</v>
      </c>
      <c r="D5" s="738"/>
      <c r="E5" s="81"/>
      <c r="F5" s="81"/>
      <c r="G5" s="81"/>
      <c r="H5" s="81"/>
      <c r="I5" s="81"/>
      <c r="J5" s="81"/>
      <c r="K5" s="81"/>
      <c r="L5" s="81"/>
      <c r="M5" s="97"/>
    </row>
    <row r="6" spans="1:13" x14ac:dyDescent="0.25">
      <c r="A6" s="77"/>
      <c r="B6" s="111"/>
      <c r="C6" s="3"/>
      <c r="D6" s="3"/>
      <c r="E6" s="81"/>
      <c r="F6" s="81"/>
      <c r="G6" s="81"/>
      <c r="H6" s="81"/>
      <c r="I6" s="81"/>
      <c r="J6" s="81"/>
      <c r="K6" s="81"/>
      <c r="L6" s="81"/>
      <c r="M6" s="97"/>
    </row>
    <row r="7" spans="1:13" x14ac:dyDescent="0.25">
      <c r="A7" s="80"/>
      <c r="B7" s="8"/>
      <c r="C7" s="717" t="str">
        <f>IF(Lang="Français","Fusée",IF(Lang="English","Rocket",""))</f>
        <v>Fusée</v>
      </c>
      <c r="D7" s="717"/>
      <c r="E7" s="81"/>
      <c r="F7" s="81"/>
      <c r="G7" s="81"/>
      <c r="H7" s="81"/>
      <c r="I7" s="81"/>
      <c r="J7" s="81"/>
      <c r="K7" s="81"/>
      <c r="L7" s="81"/>
      <c r="M7" s="97"/>
    </row>
    <row r="8" spans="1:13" ht="15.6" x14ac:dyDescent="0.3">
      <c r="A8" s="80"/>
      <c r="B8" s="173" t="str">
        <f>IF(Lang="Français","Nom",IF(Lang="English","Name",""))</f>
        <v>Nom</v>
      </c>
      <c r="C8" s="736" t="str">
        <f>Nom</f>
        <v>Indra</v>
      </c>
      <c r="D8" s="736"/>
      <c r="E8" s="81"/>
      <c r="F8" s="81"/>
      <c r="G8" s="81"/>
      <c r="H8" s="81"/>
      <c r="I8" s="81"/>
      <c r="J8" s="81"/>
      <c r="K8" s="81"/>
      <c r="L8" s="81"/>
      <c r="M8" s="97"/>
    </row>
    <row r="9" spans="1:13" ht="15.6" x14ac:dyDescent="0.3">
      <c r="A9" s="80"/>
      <c r="B9" s="173" t="s">
        <v>4</v>
      </c>
      <c r="C9" s="736" t="str">
        <f>Club</f>
        <v>Space'Tech Orléans</v>
      </c>
      <c r="D9" s="736"/>
      <c r="E9" s="81"/>
      <c r="F9" s="81"/>
      <c r="G9" s="81"/>
      <c r="H9" s="81"/>
      <c r="I9" s="81"/>
      <c r="J9" s="81"/>
      <c r="K9" s="81"/>
      <c r="L9" s="81"/>
      <c r="M9" s="97"/>
    </row>
    <row r="10" spans="1:13" x14ac:dyDescent="0.25">
      <c r="A10" s="80"/>
      <c r="B10" s="173" t="str">
        <f>IF(Lang="Français","Masse sans propu",IF(Lang="English","Mass without M",""))</f>
        <v>Masse sans propu</v>
      </c>
      <c r="C10" s="769">
        <f>MasseSans</f>
        <v>9</v>
      </c>
      <c r="D10" s="769"/>
      <c r="E10" s="81"/>
      <c r="F10" s="81"/>
      <c r="G10" s="81"/>
      <c r="H10" s="81"/>
      <c r="I10" s="81"/>
      <c r="J10" s="81"/>
      <c r="K10" s="81"/>
      <c r="L10" s="81"/>
      <c r="M10" s="97"/>
    </row>
    <row r="11" spans="1:13" x14ac:dyDescent="0.25">
      <c r="A11" s="80"/>
      <c r="B11" s="173" t="str">
        <f>IF(Lang="Français","Masse totale",IF(Lang="English","Total mass",""))</f>
        <v>Masse totale</v>
      </c>
      <c r="C11" s="772" t="str">
        <f ca="1">MassePlein &amp; " kg ±" &amp; MasseSans &amp; " kg"</f>
        <v>12,511 kg ±9 kg</v>
      </c>
      <c r="D11" s="772"/>
      <c r="E11" s="81"/>
      <c r="F11" s="81"/>
      <c r="G11" s="81"/>
      <c r="H11" s="81"/>
      <c r="I11" s="81"/>
      <c r="J11" s="81"/>
      <c r="K11" s="81"/>
      <c r="L11" s="81"/>
      <c r="M11" s="97"/>
    </row>
    <row r="12" spans="1:13" x14ac:dyDescent="0.25">
      <c r="A12" s="80"/>
      <c r="B12" s="266" t="str">
        <f>IF(Lang="Français","Propulseur",IF(Lang="English","Motor",""))</f>
        <v>Propulseur</v>
      </c>
      <c r="C12" s="715" t="str">
        <f>Propu</f>
        <v>Orignal (Pro75-3G C)</v>
      </c>
      <c r="D12" s="716"/>
      <c r="E12" s="81"/>
      <c r="F12" s="81"/>
      <c r="G12" s="81"/>
      <c r="H12" s="81"/>
      <c r="I12" s="81"/>
      <c r="J12" s="81"/>
      <c r="K12" s="81"/>
      <c r="L12" s="81"/>
      <c r="M12" s="97"/>
    </row>
    <row r="13" spans="1:13" x14ac:dyDescent="0.25">
      <c r="A13" s="80"/>
      <c r="B13" s="3"/>
      <c r="C13" s="3"/>
      <c r="D13" s="3"/>
      <c r="E13" s="81"/>
      <c r="F13" s="81"/>
      <c r="G13" s="81"/>
      <c r="H13" s="81"/>
      <c r="I13" s="81"/>
      <c r="J13" s="81"/>
      <c r="K13" s="81"/>
      <c r="L13" s="81"/>
      <c r="M13" s="97"/>
    </row>
    <row r="14" spans="1:13" x14ac:dyDescent="0.25">
      <c r="A14" s="96"/>
      <c r="B14" s="81"/>
      <c r="C14" s="717" t="str">
        <f>IF(Lang="Français","Traînée Aérdynamique",IF(Lang="English","Drag",""))</f>
        <v>Traînée Aérdynamique</v>
      </c>
      <c r="D14" s="717"/>
      <c r="E14" s="81"/>
      <c r="F14" s="81"/>
      <c r="G14" s="81"/>
      <c r="H14" s="81"/>
      <c r="I14" s="81"/>
      <c r="J14" s="81"/>
      <c r="K14" s="81"/>
      <c r="L14" s="81"/>
      <c r="M14" s="97"/>
    </row>
    <row r="15" spans="1:13" x14ac:dyDescent="0.25">
      <c r="A15" s="96"/>
      <c r="B15" s="172" t="str">
        <f>IF(Lang="Français","Diamètre Ø",IF(Lang="English","Diameter Ø",""))</f>
        <v>Diamètre Ø</v>
      </c>
      <c r="C15" s="770">
        <f>D_ref</f>
        <v>100</v>
      </c>
      <c r="D15" s="770"/>
      <c r="E15" s="81"/>
      <c r="F15" s="81"/>
      <c r="G15" s="81"/>
      <c r="H15" s="81"/>
      <c r="I15" s="81"/>
      <c r="J15" s="81"/>
      <c r="K15" s="81"/>
      <c r="L15" s="81"/>
      <c r="M15" s="97"/>
    </row>
    <row r="16" spans="1:13" x14ac:dyDescent="0.25">
      <c r="A16" s="96"/>
      <c r="B16" s="173" t="s">
        <v>5</v>
      </c>
      <c r="C16" s="771">
        <f>Cx</f>
        <v>0.5</v>
      </c>
      <c r="D16" s="771"/>
      <c r="E16" s="81"/>
      <c r="F16" s="81"/>
      <c r="G16" s="81"/>
      <c r="H16" s="81"/>
      <c r="I16" s="81"/>
      <c r="J16" s="81"/>
      <c r="K16" s="81"/>
      <c r="L16" s="81"/>
      <c r="M16" s="97"/>
    </row>
    <row r="17" spans="1:13" x14ac:dyDescent="0.25">
      <c r="A17" s="96"/>
      <c r="B17" s="81"/>
      <c r="C17" s="81"/>
      <c r="D17" s="81"/>
      <c r="E17" s="81"/>
      <c r="F17" s="81"/>
      <c r="G17" s="81"/>
      <c r="H17" s="81"/>
      <c r="I17" s="81"/>
      <c r="J17" s="81"/>
      <c r="K17" s="81"/>
      <c r="L17" s="81"/>
      <c r="M17" s="97"/>
    </row>
    <row r="18" spans="1:13" x14ac:dyDescent="0.25">
      <c r="A18" s="96"/>
      <c r="B18" s="81"/>
      <c r="C18" s="81"/>
      <c r="D18" s="81"/>
      <c r="E18" s="81"/>
      <c r="F18" s="81"/>
      <c r="G18" s="81"/>
      <c r="H18" s="81"/>
      <c r="I18" s="81"/>
      <c r="J18" s="81"/>
      <c r="K18" s="81"/>
      <c r="L18" s="81"/>
      <c r="M18" s="97"/>
    </row>
    <row r="19" spans="1:13" x14ac:dyDescent="0.25">
      <c r="A19" s="96"/>
      <c r="B19" s="81"/>
      <c r="C19" s="81"/>
      <c r="D19" s="81"/>
      <c r="E19" s="81"/>
      <c r="F19" s="81"/>
      <c r="G19" s="81"/>
      <c r="H19" s="81"/>
      <c r="I19" s="81"/>
      <c r="J19" s="81"/>
      <c r="K19" s="81"/>
      <c r="L19" s="81"/>
      <c r="M19" s="97"/>
    </row>
    <row r="20" spans="1:13" x14ac:dyDescent="0.25">
      <c r="A20" s="96"/>
      <c r="B20" s="81"/>
      <c r="C20" s="81"/>
      <c r="D20" s="81"/>
      <c r="E20" s="81"/>
      <c r="F20" s="81"/>
      <c r="G20" s="81"/>
      <c r="H20" s="81"/>
      <c r="I20" s="81"/>
      <c r="J20" s="81"/>
      <c r="K20" s="81"/>
      <c r="L20" s="81"/>
      <c r="M20" s="97"/>
    </row>
    <row r="21" spans="1:13" x14ac:dyDescent="0.25">
      <c r="A21" s="96"/>
      <c r="B21" s="81"/>
      <c r="C21" s="81"/>
      <c r="D21" s="81"/>
      <c r="E21" s="81"/>
      <c r="F21" s="81"/>
      <c r="G21" s="81"/>
      <c r="H21" s="81"/>
      <c r="I21" s="81"/>
      <c r="J21" s="81"/>
      <c r="K21" s="81"/>
      <c r="L21" s="81"/>
      <c r="M21" s="97"/>
    </row>
    <row r="22" spans="1:13" x14ac:dyDescent="0.25">
      <c r="A22" s="96"/>
      <c r="B22" s="81"/>
      <c r="C22" s="81"/>
      <c r="D22" s="81"/>
      <c r="E22" s="81"/>
      <c r="F22" s="81"/>
      <c r="G22" s="81"/>
      <c r="H22" s="81"/>
      <c r="I22" s="81"/>
      <c r="J22" s="81"/>
      <c r="K22" s="81"/>
      <c r="L22" s="81"/>
      <c r="M22" s="97"/>
    </row>
    <row r="23" spans="1:13" x14ac:dyDescent="0.25">
      <c r="A23" s="96"/>
      <c r="B23" s="81"/>
      <c r="C23" s="81"/>
      <c r="D23" s="81"/>
      <c r="E23" s="81"/>
      <c r="F23" s="81"/>
      <c r="G23" s="81"/>
      <c r="H23" s="81"/>
      <c r="I23" s="81"/>
      <c r="J23" s="81"/>
      <c r="K23" s="81"/>
      <c r="L23" s="81"/>
      <c r="M23" s="97"/>
    </row>
    <row r="24" spans="1:13" x14ac:dyDescent="0.25">
      <c r="A24" s="96"/>
      <c r="B24" s="81"/>
      <c r="C24" s="81"/>
      <c r="D24" s="81"/>
      <c r="E24" s="81"/>
      <c r="F24" s="81"/>
      <c r="G24" s="81"/>
      <c r="H24" s="81"/>
      <c r="I24" s="81"/>
      <c r="J24" s="81"/>
      <c r="K24" s="81"/>
      <c r="L24" s="81"/>
      <c r="M24" s="97"/>
    </row>
    <row r="25" spans="1:13" x14ac:dyDescent="0.25">
      <c r="A25" s="96"/>
      <c r="B25" s="81"/>
      <c r="C25" s="81"/>
      <c r="D25" s="81"/>
      <c r="E25" s="81"/>
      <c r="F25" s="81"/>
      <c r="G25" s="81"/>
      <c r="H25" s="81"/>
      <c r="I25" s="81"/>
      <c r="J25" s="81"/>
      <c r="K25" s="81"/>
      <c r="L25" s="81"/>
      <c r="M25" s="97"/>
    </row>
    <row r="26" spans="1:13" x14ac:dyDescent="0.25">
      <c r="A26" s="96"/>
      <c r="B26" s="81"/>
      <c r="C26" s="81"/>
      <c r="D26" s="81"/>
      <c r="E26" s="81"/>
      <c r="F26" s="81"/>
      <c r="G26" s="81"/>
      <c r="H26" s="81"/>
      <c r="I26" s="81"/>
      <c r="J26" s="81"/>
      <c r="K26" s="81"/>
      <c r="L26" s="81"/>
      <c r="M26" s="97"/>
    </row>
    <row r="27" spans="1:13" x14ac:dyDescent="0.25">
      <c r="A27" s="96"/>
      <c r="B27" s="81"/>
      <c r="C27" s="81"/>
      <c r="D27" s="81"/>
      <c r="E27" s="81"/>
      <c r="F27" s="81"/>
      <c r="G27" s="81"/>
      <c r="H27" s="81"/>
      <c r="I27" s="81"/>
      <c r="J27" s="81"/>
      <c r="K27" s="81"/>
      <c r="L27" s="81"/>
      <c r="M27" s="97"/>
    </row>
    <row r="28" spans="1:13" x14ac:dyDescent="0.25">
      <c r="A28" s="96"/>
      <c r="B28" s="81"/>
      <c r="C28" s="81"/>
      <c r="D28" s="81"/>
      <c r="E28" s="81"/>
      <c r="F28" s="81"/>
      <c r="G28" s="81"/>
      <c r="H28" s="81"/>
      <c r="I28" s="81"/>
      <c r="J28" s="81"/>
      <c r="K28" s="81"/>
      <c r="L28" s="81"/>
      <c r="M28" s="97"/>
    </row>
    <row r="29" spans="1:13" x14ac:dyDescent="0.25">
      <c r="A29" s="96"/>
      <c r="B29" s="81"/>
      <c r="C29" s="81"/>
      <c r="D29" s="81"/>
      <c r="E29" s="81"/>
      <c r="F29" s="81"/>
      <c r="G29" s="81"/>
      <c r="H29" s="81"/>
      <c r="I29" s="81"/>
      <c r="J29" s="81"/>
      <c r="K29" s="81"/>
      <c r="L29" s="81"/>
      <c r="M29" s="97"/>
    </row>
    <row r="30" spans="1:13" x14ac:dyDescent="0.25">
      <c r="A30" s="96"/>
      <c r="B30" s="81"/>
      <c r="C30" s="81"/>
      <c r="D30" s="81"/>
      <c r="E30" s="81"/>
      <c r="F30" s="81"/>
      <c r="G30" s="81"/>
      <c r="H30" s="81"/>
      <c r="I30" s="81"/>
      <c r="J30" s="81"/>
      <c r="K30" s="81"/>
      <c r="L30" s="81"/>
      <c r="M30" s="97"/>
    </row>
    <row r="31" spans="1:13" x14ac:dyDescent="0.25">
      <c r="A31" s="96"/>
      <c r="B31" s="81"/>
      <c r="C31" s="81"/>
      <c r="D31" s="81"/>
      <c r="E31" s="81"/>
      <c r="F31" s="81"/>
      <c r="G31" s="81"/>
      <c r="H31" s="81"/>
      <c r="I31" s="81"/>
      <c r="J31" s="81"/>
      <c r="K31" s="81"/>
      <c r="L31" s="81"/>
      <c r="M31" s="97"/>
    </row>
    <row r="32" spans="1:13" x14ac:dyDescent="0.25">
      <c r="A32" s="96"/>
      <c r="B32" s="81"/>
      <c r="C32" s="81"/>
      <c r="D32" s="81"/>
      <c r="E32" s="81"/>
      <c r="F32" s="81"/>
      <c r="G32" s="81"/>
      <c r="H32" s="81"/>
      <c r="I32" s="81"/>
      <c r="J32" s="81"/>
      <c r="K32" s="81"/>
      <c r="L32" s="81"/>
      <c r="M32" s="97"/>
    </row>
    <row r="33" spans="1:13" x14ac:dyDescent="0.25">
      <c r="A33" s="96"/>
      <c r="B33" s="81"/>
      <c r="C33" s="81"/>
      <c r="D33" s="81"/>
      <c r="E33" s="81"/>
      <c r="F33" s="81"/>
      <c r="G33" s="81"/>
      <c r="H33" s="81"/>
      <c r="I33" s="81"/>
      <c r="J33" s="81"/>
      <c r="K33" s="81"/>
      <c r="L33" s="81"/>
      <c r="M33" s="97"/>
    </row>
    <row r="34" spans="1:13" x14ac:dyDescent="0.25">
      <c r="A34" s="96"/>
      <c r="B34" s="81"/>
      <c r="C34" s="81"/>
      <c r="D34" s="81"/>
      <c r="E34" s="81"/>
      <c r="F34" s="81"/>
      <c r="G34" s="81"/>
      <c r="H34" s="81"/>
      <c r="I34" s="81"/>
      <c r="J34" s="81"/>
      <c r="K34" s="81"/>
      <c r="L34" s="81"/>
      <c r="M34" s="97"/>
    </row>
    <row r="35" spans="1:13" ht="13.8" thickBot="1" x14ac:dyDescent="0.3">
      <c r="A35" s="99"/>
      <c r="B35" s="102"/>
      <c r="C35" s="102"/>
      <c r="D35" s="102"/>
      <c r="E35" s="102"/>
      <c r="F35" s="102"/>
      <c r="G35" s="102"/>
      <c r="H35" s="102"/>
      <c r="I35" s="102"/>
      <c r="J35" s="102"/>
      <c r="K35" s="102"/>
      <c r="L35" s="102"/>
      <c r="M35" s="101"/>
    </row>
    <row r="39" spans="1:13" x14ac:dyDescent="0.25">
      <c r="B39" s="480" t="s">
        <v>62</v>
      </c>
      <c r="C39" s="203" t="s">
        <v>286</v>
      </c>
      <c r="D39" s="167" t="s">
        <v>283</v>
      </c>
      <c r="E39" s="167" t="s">
        <v>287</v>
      </c>
      <c r="F39" s="167" t="s">
        <v>288</v>
      </c>
      <c r="G39" s="167" t="s">
        <v>13</v>
      </c>
      <c r="H39" s="167" t="s">
        <v>284</v>
      </c>
      <c r="I39" s="167" t="s">
        <v>285</v>
      </c>
      <c r="J39" s="167" t="s">
        <v>300</v>
      </c>
      <c r="K39" s="167" t="s">
        <v>301</v>
      </c>
      <c r="L39" s="167" t="s">
        <v>303</v>
      </c>
      <c r="M39" s="167" t="s">
        <v>291</v>
      </c>
    </row>
    <row r="40" spans="1:13" x14ac:dyDescent="0.25">
      <c r="B40" s="481" t="s">
        <v>292</v>
      </c>
      <c r="C40" s="203" t="s">
        <v>293</v>
      </c>
      <c r="D40" s="167" t="s">
        <v>294</v>
      </c>
      <c r="E40" s="167" t="s">
        <v>295</v>
      </c>
      <c r="F40" s="167" t="s">
        <v>296</v>
      </c>
      <c r="G40" s="167" t="s">
        <v>297</v>
      </c>
      <c r="H40" s="167" t="s">
        <v>298</v>
      </c>
      <c r="I40" s="167" t="s">
        <v>299</v>
      </c>
      <c r="J40" s="167" t="s">
        <v>289</v>
      </c>
      <c r="K40" s="167" t="s">
        <v>290</v>
      </c>
      <c r="L40" s="167"/>
      <c r="M40" s="167"/>
    </row>
    <row r="41" spans="1:13" x14ac:dyDescent="0.25">
      <c r="B41" s="489">
        <f t="shared" ref="B41:B49" ca="1" si="0">MAX(D_ref*0.5, Diam_propu)</f>
        <v>75</v>
      </c>
      <c r="C41" s="464">
        <f t="shared" ref="C41:C67" ca="1" si="1">1/2*Rho_moyen*PI()*D_var^2/4*Cx/10^6</f>
        <v>1.3529710549151357E-3</v>
      </c>
      <c r="D41" s="461">
        <f ca="1">MpropuPlein+0*MasseSans</f>
        <v>3.5110000000000001</v>
      </c>
      <c r="E41" s="461">
        <f t="shared" ref="E41:E67" ca="1" si="2">m_var - 0.5*m_poudre</f>
        <v>2.5745</v>
      </c>
      <c r="F41" s="461">
        <f t="shared" ref="F41:F67" ca="1" si="3">m_var - m_poudre</f>
        <v>1.6379999999999999</v>
      </c>
      <c r="G41" s="468">
        <f t="shared" ref="G41:G67" ca="1" si="4">MAX(0, (I_total/Temps_fin_propu)/m_prop-g)</f>
        <v>300.51733100610352</v>
      </c>
      <c r="H41" s="467">
        <f t="shared" ref="H41:H67" ca="1" si="5">Q_var/m_prop</f>
        <v>5.2552769660716087E-4</v>
      </c>
      <c r="I41" s="464">
        <f t="shared" ref="I41:I67" ca="1" si="6">Q_var/m_bal</f>
        <v>8.2598965501534541E-4</v>
      </c>
      <c r="J41" s="464">
        <f t="shared" ref="J41:J67" ca="1" si="7">1/(2*b_prop)*LN(  ((EXP(2*SQRT(a_prop*b_prop)*Temps_fin_propu)+1)^2)  /  (((1+1)^2)*EXP(2*SQRT(a_prop*b_prop)*Temps_fin_propu)))</f>
        <v>2265.6407110585924</v>
      </c>
      <c r="K41" s="471">
        <f t="shared" ref="K41:K67" ca="1" si="8">SQRT(a_prop/b_prop)  *  (EXP(2*SQRT(a_prop*b_prop)*Temps_fin_propu)-1)/(EXP(2*SQRT(a_prop*b_prop)*Temps_fin_propu)+1)</f>
        <v>720.40587937186433</v>
      </c>
      <c r="L41" s="474">
        <f t="shared" ref="L41:L67" ca="1" si="9">alt_prop + 1/(2*b_bal) * LN(1+b_bal/g*V_prop^2)</f>
        <v>4565.8665325686015</v>
      </c>
      <c r="M41" s="477">
        <f t="shared" ref="M41:M67" ca="1" si="10">Temps_fin_propu + ATAN(SQRT(b_bal/g)*V_prop)/SQRT(b_bal*g)</f>
        <v>20.462214926687707</v>
      </c>
    </row>
    <row r="42" spans="1:13" x14ac:dyDescent="0.25">
      <c r="B42" s="490">
        <f t="shared" ca="1" si="0"/>
        <v>75</v>
      </c>
      <c r="C42" s="465">
        <f t="shared" ca="1" si="1"/>
        <v>1.3529710549151357E-3</v>
      </c>
      <c r="D42" s="462">
        <f ca="1">MpropuPlein+0.25*MasseSans</f>
        <v>5.7610000000000001</v>
      </c>
      <c r="E42" s="462">
        <f t="shared" ca="1" si="2"/>
        <v>4.8245000000000005</v>
      </c>
      <c r="F42" s="462">
        <f t="shared" ca="1" si="3"/>
        <v>3.8879999999999999</v>
      </c>
      <c r="G42" s="469">
        <f t="shared" ca="1" si="4"/>
        <v>155.79010647221753</v>
      </c>
      <c r="H42" s="465">
        <f t="shared" ca="1" si="5"/>
        <v>2.804375696787513E-4</v>
      </c>
      <c r="I42" s="465">
        <f t="shared" ca="1" si="6"/>
        <v>3.4798638243702053E-4</v>
      </c>
      <c r="J42" s="465">
        <f t="shared" ca="1" si="7"/>
        <v>1487.994415003895</v>
      </c>
      <c r="K42" s="472">
        <f t="shared" ca="1" si="8"/>
        <v>560.7097771310091</v>
      </c>
      <c r="L42" s="475">
        <f t="shared" ca="1" si="9"/>
        <v>5076.5387702575554</v>
      </c>
      <c r="M42" s="478">
        <f t="shared" ca="1" si="10"/>
        <v>26.585008287580713</v>
      </c>
    </row>
    <row r="43" spans="1:13" x14ac:dyDescent="0.25">
      <c r="B43" s="490">
        <f t="shared" ca="1" si="0"/>
        <v>75</v>
      </c>
      <c r="C43" s="465">
        <f t="shared" ca="1" si="1"/>
        <v>1.3529710549151357E-3</v>
      </c>
      <c r="D43" s="462">
        <f ca="1">MpropuPlein+0.5*MasseSans</f>
        <v>8.0109999999999992</v>
      </c>
      <c r="E43" s="462">
        <f t="shared" ca="1" si="2"/>
        <v>7.0744999999999987</v>
      </c>
      <c r="F43" s="462">
        <f t="shared" ca="1" si="3"/>
        <v>6.137999999999999</v>
      </c>
      <c r="G43" s="469">
        <f t="shared" ca="1" si="4"/>
        <v>103.12203953285938</v>
      </c>
      <c r="H43" s="465">
        <f t="shared" ca="1" si="5"/>
        <v>1.9124617356917605E-4</v>
      </c>
      <c r="I43" s="465">
        <f t="shared" ca="1" si="6"/>
        <v>2.2042539180761419E-4</v>
      </c>
      <c r="J43" s="465">
        <f t="shared" ca="1" si="7"/>
        <v>1056.295724435246</v>
      </c>
      <c r="K43" s="472">
        <f t="shared" ca="1" si="8"/>
        <v>423.34259777821597</v>
      </c>
      <c r="L43" s="475">
        <f t="shared" ca="1" si="9"/>
        <v>4719.2449225298515</v>
      </c>
      <c r="M43" s="478">
        <f t="shared" ca="1" si="10"/>
        <v>28.517826672840126</v>
      </c>
    </row>
    <row r="44" spans="1:13" x14ac:dyDescent="0.25">
      <c r="B44" s="490">
        <f t="shared" ca="1" si="0"/>
        <v>75</v>
      </c>
      <c r="C44" s="465">
        <f t="shared" ca="1" si="1"/>
        <v>1.3529710549151357E-3</v>
      </c>
      <c r="D44" s="462">
        <f ca="1">MpropuPlein+0.75*MasseSans</f>
        <v>10.260999999999999</v>
      </c>
      <c r="E44" s="462">
        <f t="shared" ca="1" si="2"/>
        <v>9.3244999999999987</v>
      </c>
      <c r="F44" s="462">
        <f t="shared" ca="1" si="3"/>
        <v>8.3879999999999981</v>
      </c>
      <c r="G44" s="469">
        <f t="shared" ca="1" si="4"/>
        <v>75.87156079952959</v>
      </c>
      <c r="H44" s="465">
        <f t="shared" ca="1" si="5"/>
        <v>1.4509850983056849E-4</v>
      </c>
      <c r="I44" s="465">
        <f t="shared" ca="1" si="6"/>
        <v>1.6129840902660183E-4</v>
      </c>
      <c r="J44" s="465">
        <f t="shared" ca="1" si="7"/>
        <v>799.49529559264772</v>
      </c>
      <c r="K44" s="472">
        <f t="shared" ca="1" si="8"/>
        <v>329.04779882967028</v>
      </c>
      <c r="L44" s="475">
        <f t="shared" ca="1" si="9"/>
        <v>3969.2041605594532</v>
      </c>
      <c r="M44" s="478">
        <f t="shared" ca="1" si="10"/>
        <v>27.999762962672396</v>
      </c>
    </row>
    <row r="45" spans="1:13" x14ac:dyDescent="0.25">
      <c r="B45" s="490">
        <f t="shared" ca="1" si="0"/>
        <v>75</v>
      </c>
      <c r="C45" s="465">
        <f t="shared" ca="1" si="1"/>
        <v>1.3529710549151357E-3</v>
      </c>
      <c r="D45" s="462">
        <f ca="1">MpropuPlein+1*MasseSans</f>
        <v>12.510999999999999</v>
      </c>
      <c r="E45" s="462">
        <f t="shared" ca="1" si="2"/>
        <v>11.574499999999999</v>
      </c>
      <c r="F45" s="462">
        <f t="shared" ca="1" si="3"/>
        <v>10.637999999999998</v>
      </c>
      <c r="G45" s="469">
        <f t="shared" ca="1" si="4"/>
        <v>59.215678316576401</v>
      </c>
      <c r="H45" s="465">
        <f t="shared" ca="1" si="5"/>
        <v>1.1689239750443958E-4</v>
      </c>
      <c r="I45" s="465">
        <f t="shared" ca="1" si="6"/>
        <v>1.2718284028155066E-4</v>
      </c>
      <c r="J45" s="465">
        <f t="shared" ca="1" si="7"/>
        <v>632.73053133271912</v>
      </c>
      <c r="K45" s="472">
        <f t="shared" ca="1" si="8"/>
        <v>263.92478492920338</v>
      </c>
      <c r="L45" s="475">
        <f t="shared" ca="1" si="9"/>
        <v>3162.4219430915655</v>
      </c>
      <c r="M45" s="478">
        <f t="shared" ca="1" si="10"/>
        <v>26.193884204168011</v>
      </c>
    </row>
    <row r="46" spans="1:13" x14ac:dyDescent="0.25">
      <c r="B46" s="490">
        <f t="shared" ca="1" si="0"/>
        <v>75</v>
      </c>
      <c r="C46" s="465">
        <f t="shared" ca="1" si="1"/>
        <v>1.3529710549151357E-3</v>
      </c>
      <c r="D46" s="462">
        <f ca="1">MpropuPlein+1.25*MasseSans</f>
        <v>14.760999999999999</v>
      </c>
      <c r="E46" s="462">
        <f t="shared" ca="1" si="2"/>
        <v>13.824499999999999</v>
      </c>
      <c r="F46" s="462">
        <f t="shared" ca="1" si="3"/>
        <v>12.887999999999998</v>
      </c>
      <c r="G46" s="469">
        <f t="shared" ca="1" si="4"/>
        <v>47.981436484155928</v>
      </c>
      <c r="H46" s="465">
        <f t="shared" ca="1" si="5"/>
        <v>9.78676302879045E-5</v>
      </c>
      <c r="I46" s="465">
        <f t="shared" ca="1" si="6"/>
        <v>1.049791321318386E-4</v>
      </c>
      <c r="J46" s="465">
        <f t="shared" ca="1" si="7"/>
        <v>516.68672191425139</v>
      </c>
      <c r="K46" s="472">
        <f t="shared" ca="1" si="8"/>
        <v>217.15875383438348</v>
      </c>
      <c r="L46" s="475">
        <f t="shared" ca="1" si="9"/>
        <v>2462.5927775537448</v>
      </c>
      <c r="M46" s="478">
        <f t="shared" ca="1" si="10"/>
        <v>23.927094298470699</v>
      </c>
    </row>
    <row r="47" spans="1:13" x14ac:dyDescent="0.25">
      <c r="B47" s="490">
        <f t="shared" ca="1" si="0"/>
        <v>75</v>
      </c>
      <c r="C47" s="465">
        <f t="shared" ca="1" si="1"/>
        <v>1.3529710549151357E-3</v>
      </c>
      <c r="D47" s="462">
        <f ca="1">MpropuPlein+1.5*MasseSans</f>
        <v>17.010999999999999</v>
      </c>
      <c r="E47" s="462">
        <f t="shared" ca="1" si="2"/>
        <v>16.0745</v>
      </c>
      <c r="F47" s="462">
        <f t="shared" ca="1" si="3"/>
        <v>15.137999999999998</v>
      </c>
      <c r="G47" s="469">
        <f t="shared" ca="1" si="4"/>
        <v>39.892181322916016</v>
      </c>
      <c r="H47" s="465">
        <f t="shared" ca="1" si="5"/>
        <v>8.4168780050087753E-5</v>
      </c>
      <c r="I47" s="465">
        <f t="shared" ca="1" si="6"/>
        <v>8.9375812849460691E-5</v>
      </c>
      <c r="J47" s="465">
        <f t="shared" ca="1" si="7"/>
        <v>431.61535429197642</v>
      </c>
      <c r="K47" s="472">
        <f t="shared" ca="1" si="8"/>
        <v>182.24954507147743</v>
      </c>
      <c r="L47" s="475">
        <f t="shared" ca="1" si="9"/>
        <v>1910.5964751027607</v>
      </c>
      <c r="M47" s="478">
        <f t="shared" ca="1" si="10"/>
        <v>21.664573420917428</v>
      </c>
    </row>
    <row r="48" spans="1:13" x14ac:dyDescent="0.25">
      <c r="B48" s="490">
        <f t="shared" ca="1" si="0"/>
        <v>75</v>
      </c>
      <c r="C48" s="465">
        <f t="shared" ca="1" si="1"/>
        <v>1.3529710549151357E-3</v>
      </c>
      <c r="D48" s="462">
        <f ca="1">MpropuPlein+1.75*MasseSans</f>
        <v>19.260999999999999</v>
      </c>
      <c r="E48" s="462">
        <f t="shared" ca="1" si="2"/>
        <v>18.3245</v>
      </c>
      <c r="F48" s="462">
        <f t="shared" ca="1" si="3"/>
        <v>17.387999999999998</v>
      </c>
      <c r="G48" s="469">
        <f t="shared" ca="1" si="4"/>
        <v>33.789427742924147</v>
      </c>
      <c r="H48" s="465">
        <f t="shared" ca="1" si="5"/>
        <v>7.3833995738772451E-5</v>
      </c>
      <c r="I48" s="465">
        <f t="shared" ca="1" si="6"/>
        <v>7.7810619675358636E-5</v>
      </c>
      <c r="J48" s="465">
        <f t="shared" ca="1" si="7"/>
        <v>366.71316003084695</v>
      </c>
      <c r="K48" s="472">
        <f t="shared" ca="1" si="8"/>
        <v>155.3158360079253</v>
      </c>
      <c r="L48" s="475">
        <f t="shared" ca="1" si="9"/>
        <v>1491.7336782961379</v>
      </c>
      <c r="M48" s="478">
        <f t="shared" ca="1" si="10"/>
        <v>19.604741093223488</v>
      </c>
    </row>
    <row r="49" spans="2:13" x14ac:dyDescent="0.25">
      <c r="B49" s="491">
        <f t="shared" ca="1" si="0"/>
        <v>75</v>
      </c>
      <c r="C49" s="466">
        <f t="shared" ca="1" si="1"/>
        <v>1.3529710549151357E-3</v>
      </c>
      <c r="D49" s="463">
        <f ca="1">MpropuPlein+2*MasseSans</f>
        <v>21.510999999999999</v>
      </c>
      <c r="E49" s="463">
        <f t="shared" ca="1" si="2"/>
        <v>20.5745</v>
      </c>
      <c r="F49" s="463">
        <f t="shared" ca="1" si="3"/>
        <v>19.637999999999998</v>
      </c>
      <c r="G49" s="470">
        <f t="shared" ca="1" si="4"/>
        <v>29.021452218776325</v>
      </c>
      <c r="H49" s="466">
        <f t="shared" ca="1" si="5"/>
        <v>6.5759608005790454E-5</v>
      </c>
      <c r="I49" s="466">
        <f t="shared" ca="1" si="6"/>
        <v>6.8895562425661257E-5</v>
      </c>
      <c r="J49" s="466">
        <f t="shared" ca="1" si="7"/>
        <v>315.62998578592362</v>
      </c>
      <c r="K49" s="473">
        <f t="shared" ca="1" si="8"/>
        <v>133.95910676229286</v>
      </c>
      <c r="L49" s="476">
        <f t="shared" ca="1" si="9"/>
        <v>1177.0520471281595</v>
      </c>
      <c r="M49" s="479">
        <f t="shared" ca="1" si="10"/>
        <v>17.801530249945937</v>
      </c>
    </row>
    <row r="50" spans="2:13" x14ac:dyDescent="0.25">
      <c r="B50" s="489">
        <f t="shared" ref="B50:B58" si="11">D_ref</f>
        <v>100</v>
      </c>
      <c r="C50" s="464">
        <f t="shared" si="1"/>
        <v>2.4052818754046858E-3</v>
      </c>
      <c r="D50" s="461">
        <f ca="1">MpropuPlein+0*MasseSans</f>
        <v>3.5110000000000001</v>
      </c>
      <c r="E50" s="461">
        <f t="shared" ca="1" si="2"/>
        <v>2.5745</v>
      </c>
      <c r="F50" s="461">
        <f t="shared" ca="1" si="3"/>
        <v>1.6379999999999999</v>
      </c>
      <c r="G50" s="468">
        <f t="shared" ca="1" si="4"/>
        <v>300.51733100610352</v>
      </c>
      <c r="H50" s="464">
        <f t="shared" ca="1" si="5"/>
        <v>9.3427146063495268E-4</v>
      </c>
      <c r="I50" s="464">
        <f t="shared" ca="1" si="6"/>
        <v>1.4684260533606142E-3</v>
      </c>
      <c r="J50" s="464">
        <f t="shared" ca="1" si="7"/>
        <v>1919.8348117538424</v>
      </c>
      <c r="K50" s="471">
        <f t="shared" ca="1" si="8"/>
        <v>559.24790560645113</v>
      </c>
      <c r="L50" s="474">
        <f t="shared" ca="1" si="9"/>
        <v>3236.6715266317624</v>
      </c>
      <c r="M50" s="477">
        <f t="shared" ca="1" si="10"/>
        <v>16.558431169977993</v>
      </c>
    </row>
    <row r="51" spans="2:13" x14ac:dyDescent="0.25">
      <c r="B51" s="490">
        <f t="shared" si="11"/>
        <v>100</v>
      </c>
      <c r="C51" s="465">
        <f t="shared" si="1"/>
        <v>2.4052818754046858E-3</v>
      </c>
      <c r="D51" s="462">
        <f ca="1">MpropuPlein+0.25*MasseSans</f>
        <v>5.7610000000000001</v>
      </c>
      <c r="E51" s="462">
        <f t="shared" ca="1" si="2"/>
        <v>4.8245000000000005</v>
      </c>
      <c r="F51" s="462">
        <f t="shared" ca="1" si="3"/>
        <v>3.8879999999999999</v>
      </c>
      <c r="G51" s="469">
        <f t="shared" ca="1" si="4"/>
        <v>155.79010647221753</v>
      </c>
      <c r="H51" s="465">
        <f t="shared" ca="1" si="5"/>
        <v>4.9855567942889121E-4</v>
      </c>
      <c r="I51" s="465">
        <f t="shared" ca="1" si="6"/>
        <v>6.1864245766581429E-4</v>
      </c>
      <c r="J51" s="465">
        <f t="shared" ca="1" si="7"/>
        <v>1368.3379878676478</v>
      </c>
      <c r="K51" s="472">
        <f t="shared" ca="1" si="8"/>
        <v>482.3190991620632</v>
      </c>
      <c r="L51" s="475">
        <f t="shared" ca="1" si="9"/>
        <v>3592.3759159969818</v>
      </c>
      <c r="M51" s="478">
        <f t="shared" ca="1" si="10"/>
        <v>21.56526326933508</v>
      </c>
    </row>
    <row r="52" spans="2:13" x14ac:dyDescent="0.25">
      <c r="B52" s="490">
        <f t="shared" si="11"/>
        <v>100</v>
      </c>
      <c r="C52" s="465">
        <f t="shared" si="1"/>
        <v>2.4052818754046858E-3</v>
      </c>
      <c r="D52" s="462">
        <f ca="1">MpropuPlein+0.5*MasseSans</f>
        <v>8.0109999999999992</v>
      </c>
      <c r="E52" s="462">
        <f t="shared" ca="1" si="2"/>
        <v>7.0744999999999987</v>
      </c>
      <c r="F52" s="462">
        <f t="shared" ca="1" si="3"/>
        <v>6.137999999999999</v>
      </c>
      <c r="G52" s="469">
        <f t="shared" ca="1" si="4"/>
        <v>103.12203953285938</v>
      </c>
      <c r="H52" s="465">
        <f t="shared" ca="1" si="5"/>
        <v>3.3999319745631299E-4</v>
      </c>
      <c r="I52" s="465">
        <f t="shared" ca="1" si="6"/>
        <v>3.9186736321353635E-4</v>
      </c>
      <c r="J52" s="465">
        <f t="shared" ca="1" si="7"/>
        <v>1008.8378924429259</v>
      </c>
      <c r="K52" s="472">
        <f t="shared" ca="1" si="8"/>
        <v>388.02669115452977</v>
      </c>
      <c r="L52" s="475">
        <f t="shared" ca="1" si="9"/>
        <v>3494.3308116828571</v>
      </c>
      <c r="M52" s="478">
        <f t="shared" ca="1" si="10"/>
        <v>23.770089919362718</v>
      </c>
    </row>
    <row r="53" spans="2:13" x14ac:dyDescent="0.25">
      <c r="B53" s="490">
        <f t="shared" si="11"/>
        <v>100</v>
      </c>
      <c r="C53" s="465">
        <f t="shared" si="1"/>
        <v>2.4052818754046858E-3</v>
      </c>
      <c r="D53" s="462">
        <f ca="1">MpropuPlein+0.75*MasseSans</f>
        <v>10.260999999999999</v>
      </c>
      <c r="E53" s="462">
        <f t="shared" ca="1" si="2"/>
        <v>9.3244999999999987</v>
      </c>
      <c r="F53" s="462">
        <f t="shared" ca="1" si="3"/>
        <v>8.3879999999999981</v>
      </c>
      <c r="G53" s="469">
        <f t="shared" ca="1" si="4"/>
        <v>75.87156079952959</v>
      </c>
      <c r="H53" s="465">
        <f t="shared" ca="1" si="5"/>
        <v>2.5795290636545511E-4</v>
      </c>
      <c r="I53" s="465">
        <f t="shared" ca="1" si="6"/>
        <v>2.8675272715840324E-4</v>
      </c>
      <c r="J53" s="465">
        <f t="shared" ca="1" si="7"/>
        <v>777.53344710234921</v>
      </c>
      <c r="K53" s="472">
        <f t="shared" ca="1" si="8"/>
        <v>311.75641212281823</v>
      </c>
      <c r="L53" s="475">
        <f t="shared" ca="1" si="9"/>
        <v>3124.0316577847925</v>
      </c>
      <c r="M53" s="478">
        <f t="shared" ca="1" si="10"/>
        <v>24.200424013210437</v>
      </c>
    </row>
    <row r="54" spans="2:13" x14ac:dyDescent="0.25">
      <c r="B54" s="490">
        <f t="shared" si="11"/>
        <v>100</v>
      </c>
      <c r="C54" s="465">
        <f t="shared" si="1"/>
        <v>2.4052818754046858E-3</v>
      </c>
      <c r="D54" s="462">
        <f ca="1">MpropuPlein+1*MasseSans</f>
        <v>12.510999999999999</v>
      </c>
      <c r="E54" s="462">
        <f t="shared" ca="1" si="2"/>
        <v>11.574499999999999</v>
      </c>
      <c r="F54" s="462">
        <f t="shared" ca="1" si="3"/>
        <v>10.637999999999998</v>
      </c>
      <c r="G54" s="469">
        <f t="shared" ca="1" si="4"/>
        <v>59.215678316576401</v>
      </c>
      <c r="H54" s="465">
        <f t="shared" ca="1" si="5"/>
        <v>2.0780870667455926E-4</v>
      </c>
      <c r="I54" s="465">
        <f t="shared" ca="1" si="6"/>
        <v>2.2610282716720119E-4</v>
      </c>
      <c r="J54" s="465">
        <f t="shared" ca="1" si="7"/>
        <v>621.28886835464743</v>
      </c>
      <c r="K54" s="472">
        <f t="shared" ca="1" si="8"/>
        <v>254.65216176602328</v>
      </c>
      <c r="L54" s="475">
        <f t="shared" ca="1" si="9"/>
        <v>2642.7976398854598</v>
      </c>
      <c r="M54" s="478">
        <f t="shared" ca="1" si="10"/>
        <v>23.475444921913383</v>
      </c>
    </row>
    <row r="55" spans="2:13" x14ac:dyDescent="0.25">
      <c r="B55" s="490">
        <f t="shared" si="11"/>
        <v>100</v>
      </c>
      <c r="C55" s="465">
        <f t="shared" si="1"/>
        <v>2.4052818754046858E-3</v>
      </c>
      <c r="D55" s="462">
        <f ca="1">MpropuPlein+1.25*MasseSans</f>
        <v>14.760999999999999</v>
      </c>
      <c r="E55" s="462">
        <f t="shared" ca="1" si="2"/>
        <v>13.824499999999999</v>
      </c>
      <c r="F55" s="462">
        <f t="shared" ca="1" si="3"/>
        <v>12.887999999999998</v>
      </c>
      <c r="G55" s="469">
        <f t="shared" ca="1" si="4"/>
        <v>47.981436484155928</v>
      </c>
      <c r="H55" s="465">
        <f t="shared" ca="1" si="5"/>
        <v>1.7398689828960801E-4</v>
      </c>
      <c r="I55" s="465">
        <f t="shared" ca="1" si="6"/>
        <v>1.8662956823437975E-4</v>
      </c>
      <c r="J55" s="465">
        <f t="shared" ca="1" si="7"/>
        <v>510.18142266531436</v>
      </c>
      <c r="K55" s="472">
        <f t="shared" ca="1" si="8"/>
        <v>211.79903380490174</v>
      </c>
      <c r="L55" s="475">
        <f t="shared" ca="1" si="9"/>
        <v>2163.2660797690196</v>
      </c>
      <c r="M55" s="478">
        <f t="shared" ca="1" si="10"/>
        <v>22.110285060786516</v>
      </c>
    </row>
    <row r="56" spans="2:13" x14ac:dyDescent="0.25">
      <c r="B56" s="490">
        <f t="shared" si="11"/>
        <v>100</v>
      </c>
      <c r="C56" s="465">
        <f t="shared" si="1"/>
        <v>2.4052818754046858E-3</v>
      </c>
      <c r="D56" s="462">
        <f ca="1">MpropuPlein+1.5*MasseSans</f>
        <v>17.010999999999999</v>
      </c>
      <c r="E56" s="462">
        <f t="shared" ca="1" si="2"/>
        <v>16.0745</v>
      </c>
      <c r="F56" s="462">
        <f t="shared" ca="1" si="3"/>
        <v>15.137999999999998</v>
      </c>
      <c r="G56" s="469">
        <f t="shared" ca="1" si="4"/>
        <v>39.892181322916016</v>
      </c>
      <c r="H56" s="465">
        <f t="shared" ca="1" si="5"/>
        <v>1.4963338675571159E-4</v>
      </c>
      <c r="I56" s="465">
        <f t="shared" ca="1" si="6"/>
        <v>1.588903339545968E-4</v>
      </c>
      <c r="J56" s="465">
        <f t="shared" ca="1" si="7"/>
        <v>427.66717334504045</v>
      </c>
      <c r="K56" s="472">
        <f t="shared" ca="1" si="8"/>
        <v>178.96333741574162</v>
      </c>
      <c r="L56" s="475">
        <f t="shared" ca="1" si="9"/>
        <v>1742.6825012163283</v>
      </c>
      <c r="M56" s="478">
        <f t="shared" ca="1" si="10"/>
        <v>20.489865692091172</v>
      </c>
    </row>
    <row r="57" spans="2:13" x14ac:dyDescent="0.25">
      <c r="B57" s="490">
        <f t="shared" si="11"/>
        <v>100</v>
      </c>
      <c r="C57" s="465">
        <f t="shared" si="1"/>
        <v>2.4052818754046858E-3</v>
      </c>
      <c r="D57" s="462">
        <f ca="1">MpropuPlein+1.75*MasseSans</f>
        <v>19.260999999999999</v>
      </c>
      <c r="E57" s="462">
        <f t="shared" ca="1" si="2"/>
        <v>18.3245</v>
      </c>
      <c r="F57" s="462">
        <f t="shared" ca="1" si="3"/>
        <v>17.387999999999998</v>
      </c>
      <c r="G57" s="469">
        <f t="shared" ca="1" si="4"/>
        <v>33.789427742924147</v>
      </c>
      <c r="H57" s="465">
        <f t="shared" ca="1" si="5"/>
        <v>1.312604368689288E-4</v>
      </c>
      <c r="I57" s="465">
        <f t="shared" ca="1" si="6"/>
        <v>1.383299905339709E-4</v>
      </c>
      <c r="J57" s="465">
        <f t="shared" ca="1" si="7"/>
        <v>364.1945598707386</v>
      </c>
      <c r="K57" s="472">
        <f t="shared" ca="1" si="8"/>
        <v>153.20546708135782</v>
      </c>
      <c r="L57" s="475">
        <f t="shared" ca="1" si="9"/>
        <v>1397.6369175412024</v>
      </c>
      <c r="M57" s="478">
        <f t="shared" ca="1" si="10"/>
        <v>18.851977235615777</v>
      </c>
    </row>
    <row r="58" spans="2:13" x14ac:dyDescent="0.25">
      <c r="B58" s="491">
        <f t="shared" si="11"/>
        <v>100</v>
      </c>
      <c r="C58" s="466">
        <f t="shared" si="1"/>
        <v>2.4052818754046858E-3</v>
      </c>
      <c r="D58" s="463">
        <f ca="1">MpropuPlein+2*MasseSans</f>
        <v>21.510999999999999</v>
      </c>
      <c r="E58" s="463">
        <f t="shared" ca="1" si="2"/>
        <v>20.5745</v>
      </c>
      <c r="F58" s="463">
        <f t="shared" ca="1" si="3"/>
        <v>19.637999999999998</v>
      </c>
      <c r="G58" s="470">
        <f t="shared" ca="1" si="4"/>
        <v>29.021452218776325</v>
      </c>
      <c r="H58" s="466">
        <f t="shared" ca="1" si="5"/>
        <v>1.1690596978807192E-4</v>
      </c>
      <c r="I58" s="466">
        <f t="shared" ca="1" si="6"/>
        <v>1.2248099986784226E-4</v>
      </c>
      <c r="J58" s="466">
        <f t="shared" ca="1" si="7"/>
        <v>313.95980931121733</v>
      </c>
      <c r="K58" s="473">
        <f t="shared" ca="1" si="8"/>
        <v>132.55320290941518</v>
      </c>
      <c r="L58" s="476">
        <f t="shared" ca="1" si="9"/>
        <v>1123.6182338808314</v>
      </c>
      <c r="M58" s="479">
        <f t="shared" ca="1" si="10"/>
        <v>17.316619006472671</v>
      </c>
    </row>
    <row r="59" spans="2:13" x14ac:dyDescent="0.25">
      <c r="B59" s="489">
        <f t="shared" ref="B59:B67" si="12">D_ref*1.5</f>
        <v>150</v>
      </c>
      <c r="C59" s="464">
        <f t="shared" si="1"/>
        <v>5.4118842196605428E-3</v>
      </c>
      <c r="D59" s="461">
        <f ca="1">MpropuPlein+0*MasseSans</f>
        <v>3.5110000000000001</v>
      </c>
      <c r="E59" s="461">
        <f t="shared" ca="1" si="2"/>
        <v>2.5745</v>
      </c>
      <c r="F59" s="461">
        <f t="shared" ca="1" si="3"/>
        <v>1.6379999999999999</v>
      </c>
      <c r="G59" s="468">
        <f t="shared" ca="1" si="4"/>
        <v>300.51733100610352</v>
      </c>
      <c r="H59" s="464">
        <f t="shared" ca="1" si="5"/>
        <v>2.1021107864286435E-3</v>
      </c>
      <c r="I59" s="464">
        <f t="shared" ca="1" si="6"/>
        <v>3.3039586200613816E-3</v>
      </c>
      <c r="J59" s="464">
        <f t="shared" ca="1" si="7"/>
        <v>1440.049964773531</v>
      </c>
      <c r="K59" s="471">
        <f t="shared" ca="1" si="8"/>
        <v>377.65613998433196</v>
      </c>
      <c r="L59" s="474">
        <f t="shared" ca="1" si="9"/>
        <v>2029.1215603003384</v>
      </c>
      <c r="M59" s="477">
        <f t="shared" ca="1" si="10"/>
        <v>12.609110000633915</v>
      </c>
    </row>
    <row r="60" spans="2:13" x14ac:dyDescent="0.25">
      <c r="B60" s="490">
        <f t="shared" si="12"/>
        <v>150</v>
      </c>
      <c r="C60" s="465">
        <f t="shared" si="1"/>
        <v>5.4118842196605428E-3</v>
      </c>
      <c r="D60" s="462">
        <f ca="1">MpropuPlein+0.25*MasseSans</f>
        <v>5.7610000000000001</v>
      </c>
      <c r="E60" s="462">
        <f t="shared" ca="1" si="2"/>
        <v>4.8245000000000005</v>
      </c>
      <c r="F60" s="462">
        <f t="shared" ca="1" si="3"/>
        <v>3.8879999999999999</v>
      </c>
      <c r="G60" s="469">
        <f t="shared" ca="1" si="4"/>
        <v>155.79010647221753</v>
      </c>
      <c r="H60" s="465">
        <f t="shared" ca="1" si="5"/>
        <v>1.1217502787150052E-3</v>
      </c>
      <c r="I60" s="465">
        <f t="shared" ca="1" si="6"/>
        <v>1.3919455297480821E-3</v>
      </c>
      <c r="J60" s="465">
        <f t="shared" ca="1" si="7"/>
        <v>1143.8082100840427</v>
      </c>
      <c r="K60" s="472">
        <f t="shared" ca="1" si="8"/>
        <v>358.06528738233169</v>
      </c>
      <c r="L60" s="475">
        <f t="shared" ca="1" si="9"/>
        <v>2205.0880552029721</v>
      </c>
      <c r="M60" s="478">
        <f t="shared" ca="1" si="10"/>
        <v>16.151526485667659</v>
      </c>
    </row>
    <row r="61" spans="2:13" x14ac:dyDescent="0.25">
      <c r="B61" s="490">
        <f t="shared" si="12"/>
        <v>150</v>
      </c>
      <c r="C61" s="465">
        <f t="shared" si="1"/>
        <v>5.4118842196605428E-3</v>
      </c>
      <c r="D61" s="462">
        <f ca="1">MpropuPlein+0.5*MasseSans</f>
        <v>8.0109999999999992</v>
      </c>
      <c r="E61" s="462">
        <f t="shared" ca="1" si="2"/>
        <v>7.0744999999999987</v>
      </c>
      <c r="F61" s="462">
        <f t="shared" ca="1" si="3"/>
        <v>6.137999999999999</v>
      </c>
      <c r="G61" s="469">
        <f t="shared" ca="1" si="4"/>
        <v>103.12203953285938</v>
      </c>
      <c r="H61" s="465">
        <f t="shared" ca="1" si="5"/>
        <v>7.6498469427670418E-4</v>
      </c>
      <c r="I61" s="465">
        <f t="shared" ca="1" si="6"/>
        <v>8.8170156723045676E-4</v>
      </c>
      <c r="J61" s="465">
        <f t="shared" ca="1" si="7"/>
        <v>903.26811961573026</v>
      </c>
      <c r="K61" s="472">
        <f t="shared" ca="1" si="8"/>
        <v>317.73589525338195</v>
      </c>
      <c r="L61" s="475">
        <f t="shared" ca="1" si="9"/>
        <v>2213.1952591867021</v>
      </c>
      <c r="M61" s="478">
        <f t="shared" ca="1" si="10"/>
        <v>18.123352486245629</v>
      </c>
    </row>
    <row r="62" spans="2:13" x14ac:dyDescent="0.25">
      <c r="B62" s="490">
        <f t="shared" si="12"/>
        <v>150</v>
      </c>
      <c r="C62" s="465">
        <f t="shared" si="1"/>
        <v>5.4118842196605428E-3</v>
      </c>
      <c r="D62" s="462">
        <f ca="1">MpropuPlein+0.75*MasseSans</f>
        <v>10.260999999999999</v>
      </c>
      <c r="E62" s="462">
        <f t="shared" ca="1" si="2"/>
        <v>9.3244999999999987</v>
      </c>
      <c r="F62" s="462">
        <f t="shared" ca="1" si="3"/>
        <v>8.3879999999999981</v>
      </c>
      <c r="G62" s="469">
        <f t="shared" ca="1" si="4"/>
        <v>75.87156079952959</v>
      </c>
      <c r="H62" s="465">
        <f t="shared" ca="1" si="5"/>
        <v>5.8039403932227398E-4</v>
      </c>
      <c r="I62" s="465">
        <f t="shared" ca="1" si="6"/>
        <v>6.4519363610640731E-4</v>
      </c>
      <c r="J62" s="465">
        <f t="shared" ca="1" si="7"/>
        <v>723.99271446118019</v>
      </c>
      <c r="K62" s="472">
        <f t="shared" ca="1" si="8"/>
        <v>272.60207236069988</v>
      </c>
      <c r="L62" s="475">
        <f t="shared" ca="1" si="9"/>
        <v>2097.8572581492258</v>
      </c>
      <c r="M62" s="478">
        <f t="shared" ca="1" si="10"/>
        <v>19.084756213920421</v>
      </c>
    </row>
    <row r="63" spans="2:13" x14ac:dyDescent="0.25">
      <c r="B63" s="490">
        <f t="shared" si="12"/>
        <v>150</v>
      </c>
      <c r="C63" s="465">
        <f t="shared" si="1"/>
        <v>5.4118842196605428E-3</v>
      </c>
      <c r="D63" s="462">
        <f ca="1">MpropuPlein+1*MasseSans</f>
        <v>12.510999999999999</v>
      </c>
      <c r="E63" s="462">
        <f t="shared" ca="1" si="2"/>
        <v>11.574499999999999</v>
      </c>
      <c r="F63" s="462">
        <f t="shared" ca="1" si="3"/>
        <v>10.637999999999998</v>
      </c>
      <c r="G63" s="469">
        <f t="shared" ca="1" si="4"/>
        <v>59.215678316576401</v>
      </c>
      <c r="H63" s="465">
        <f t="shared" ca="1" si="5"/>
        <v>4.6756959001775832E-4</v>
      </c>
      <c r="I63" s="465">
        <f t="shared" ca="1" si="6"/>
        <v>5.0873136112620262E-4</v>
      </c>
      <c r="J63" s="465">
        <f t="shared" ca="1" si="7"/>
        <v>591.90687920134644</v>
      </c>
      <c r="K63" s="472">
        <f t="shared" ca="1" si="8"/>
        <v>232.02132318162123</v>
      </c>
      <c r="L63" s="475">
        <f t="shared" ca="1" si="9"/>
        <v>1901.857161873264</v>
      </c>
      <c r="M63" s="478">
        <f t="shared" ca="1" si="10"/>
        <v>19.281014537738152</v>
      </c>
    </row>
    <row r="64" spans="2:13" x14ac:dyDescent="0.25">
      <c r="B64" s="490">
        <f t="shared" si="12"/>
        <v>150</v>
      </c>
      <c r="C64" s="465">
        <f t="shared" si="1"/>
        <v>5.4118842196605428E-3</v>
      </c>
      <c r="D64" s="462">
        <f ca="1">MpropuPlein+1.25*MasseSans</f>
        <v>14.760999999999999</v>
      </c>
      <c r="E64" s="462">
        <f t="shared" ca="1" si="2"/>
        <v>13.824499999999999</v>
      </c>
      <c r="F64" s="462">
        <f t="shared" ca="1" si="3"/>
        <v>12.887999999999998</v>
      </c>
      <c r="G64" s="469">
        <f t="shared" ca="1" si="4"/>
        <v>47.981436484155928</v>
      </c>
      <c r="H64" s="465">
        <f t="shared" ca="1" si="5"/>
        <v>3.91470521151618E-4</v>
      </c>
      <c r="I64" s="465">
        <f t="shared" ca="1" si="6"/>
        <v>4.1991652852735442E-4</v>
      </c>
      <c r="J64" s="465">
        <f t="shared" ca="1" si="7"/>
        <v>492.94245244661766</v>
      </c>
      <c r="K64" s="472">
        <f t="shared" ca="1" si="8"/>
        <v>198.10358331307413</v>
      </c>
      <c r="L64" s="475">
        <f t="shared" ca="1" si="9"/>
        <v>1666.7144725669968</v>
      </c>
      <c r="M64" s="478">
        <f t="shared" ca="1" si="10"/>
        <v>18.91519481239207</v>
      </c>
    </row>
    <row r="65" spans="2:13" x14ac:dyDescent="0.25">
      <c r="B65" s="490">
        <f t="shared" si="12"/>
        <v>150</v>
      </c>
      <c r="C65" s="465">
        <f t="shared" si="1"/>
        <v>5.4118842196605428E-3</v>
      </c>
      <c r="D65" s="462">
        <f ca="1">MpropuPlein+1.5*MasseSans</f>
        <v>17.010999999999999</v>
      </c>
      <c r="E65" s="462">
        <f t="shared" ca="1" si="2"/>
        <v>16.0745</v>
      </c>
      <c r="F65" s="462">
        <f t="shared" ca="1" si="3"/>
        <v>15.137999999999998</v>
      </c>
      <c r="G65" s="469">
        <f t="shared" ca="1" si="4"/>
        <v>39.892181322916016</v>
      </c>
      <c r="H65" s="465">
        <f t="shared" ca="1" si="5"/>
        <v>3.3667512020035101E-4</v>
      </c>
      <c r="I65" s="465">
        <f t="shared" ca="1" si="6"/>
        <v>3.5750325139784276E-4</v>
      </c>
      <c r="J65" s="465">
        <f t="shared" ca="1" si="7"/>
        <v>416.99190114667812</v>
      </c>
      <c r="K65" s="472">
        <f t="shared" ca="1" si="8"/>
        <v>170.31389095668831</v>
      </c>
      <c r="L65" s="475">
        <f t="shared" ca="1" si="9"/>
        <v>1425.7818532964759</v>
      </c>
      <c r="M65" s="478">
        <f t="shared" ca="1" si="10"/>
        <v>18.176532248104415</v>
      </c>
    </row>
    <row r="66" spans="2:13" x14ac:dyDescent="0.25">
      <c r="B66" s="490">
        <f t="shared" si="12"/>
        <v>150</v>
      </c>
      <c r="C66" s="465">
        <f t="shared" si="1"/>
        <v>5.4118842196605428E-3</v>
      </c>
      <c r="D66" s="462">
        <f ca="1">MpropuPlein+1.75*MasseSans</f>
        <v>19.260999999999999</v>
      </c>
      <c r="E66" s="462">
        <f t="shared" ca="1" si="2"/>
        <v>18.3245</v>
      </c>
      <c r="F66" s="462">
        <f t="shared" ca="1" si="3"/>
        <v>17.387999999999998</v>
      </c>
      <c r="G66" s="469">
        <f t="shared" ca="1" si="4"/>
        <v>33.789427742924147</v>
      </c>
      <c r="H66" s="465">
        <f t="shared" ca="1" si="5"/>
        <v>2.953359829550898E-4</v>
      </c>
      <c r="I66" s="465">
        <f t="shared" ca="1" si="6"/>
        <v>3.1124247870143454E-4</v>
      </c>
      <c r="J66" s="465">
        <f t="shared" ca="1" si="7"/>
        <v>357.29205792850649</v>
      </c>
      <c r="K66" s="472">
        <f t="shared" ca="1" si="8"/>
        <v>147.53881446045619</v>
      </c>
      <c r="L66" s="475">
        <f t="shared" ca="1" si="9"/>
        <v>1200.8440342064132</v>
      </c>
      <c r="M66" s="478">
        <f t="shared" ca="1" si="10"/>
        <v>17.228416988119385</v>
      </c>
    </row>
    <row r="67" spans="2:13" x14ac:dyDescent="0.25">
      <c r="B67" s="491">
        <f t="shared" si="12"/>
        <v>150</v>
      </c>
      <c r="C67" s="466">
        <f t="shared" si="1"/>
        <v>5.4118842196605428E-3</v>
      </c>
      <c r="D67" s="463">
        <f ca="1">MpropuPlein+2*MasseSans</f>
        <v>21.510999999999999</v>
      </c>
      <c r="E67" s="463">
        <f t="shared" ca="1" si="2"/>
        <v>20.5745</v>
      </c>
      <c r="F67" s="463">
        <f t="shared" ca="1" si="3"/>
        <v>19.637999999999998</v>
      </c>
      <c r="G67" s="470">
        <f t="shared" ca="1" si="4"/>
        <v>29.021452218776325</v>
      </c>
      <c r="H67" s="466">
        <f t="shared" ca="1" si="5"/>
        <v>2.6303843202316182E-4</v>
      </c>
      <c r="I67" s="466">
        <f t="shared" ca="1" si="6"/>
        <v>2.7558224970264503E-4</v>
      </c>
      <c r="J67" s="466">
        <f t="shared" ca="1" si="7"/>
        <v>309.33913785761484</v>
      </c>
      <c r="K67" s="473">
        <f t="shared" ca="1" si="8"/>
        <v>128.72494342832863</v>
      </c>
      <c r="L67" s="476">
        <f t="shared" ca="1" si="9"/>
        <v>1002.7576751094207</v>
      </c>
      <c r="M67" s="479">
        <f t="shared" ca="1" si="10"/>
        <v>16.195081224842362</v>
      </c>
    </row>
    <row r="71" spans="2:13" x14ac:dyDescent="0.25">
      <c r="B71" s="35" t="str">
        <f>IF(Lang="Français","Textes pour les graphiques :","Texts for graphics :")</f>
        <v>Textes pour les graphiques :</v>
      </c>
    </row>
    <row r="73" spans="2:13" x14ac:dyDescent="0.25">
      <c r="B73" t="str">
        <f>IF(Lang="Français","Masse totale",IF(Lang="English","Total Mass",""))</f>
        <v>Masse totale</v>
      </c>
    </row>
    <row r="74" spans="2:13" x14ac:dyDescent="0.25">
      <c r="B74" t="str">
        <f>IF(Lang="Français","Vitesse max",IF(Lang="English","Max Velocity",""))</f>
        <v>Vitesse max</v>
      </c>
    </row>
    <row r="75" spans="2:13" x14ac:dyDescent="0.25">
      <c r="B75" t="str">
        <f>Abaco!$B$74 &amp; " / " &amp; Abaco!$B$73</f>
        <v>Vitesse max / Masse totale</v>
      </c>
    </row>
    <row r="76" spans="2:13" x14ac:dyDescent="0.25">
      <c r="B76" t="str">
        <f>IF(Lang="Français","Altitude max",IF(Lang="English","Max Altitude",""))</f>
        <v>Altitude max</v>
      </c>
    </row>
    <row r="77" spans="2:13" x14ac:dyDescent="0.25">
      <c r="B77" t="str">
        <f>Abaco!$B$76 &amp; " / " &amp; Abaco!$B$73</f>
        <v>Altitude max / Masse totale</v>
      </c>
    </row>
    <row r="78" spans="2:13" x14ac:dyDescent="0.25">
      <c r="B78" t="str">
        <f>IF(Lang="Français","Temps de culmination",IF(Lang="English","Apogee time",""))</f>
        <v>Temps de culmination</v>
      </c>
    </row>
    <row r="79" spans="2:13" x14ac:dyDescent="0.25">
      <c r="B79" t="str">
        <f>Abaco!$B$78 &amp; " / " &amp; Abaco!$B$73</f>
        <v>Temps de culmination / Masse totale</v>
      </c>
    </row>
  </sheetData>
  <sheetProtection password="C6AC" sheet="1"/>
  <mergeCells count="12">
    <mergeCell ref="C10:D10"/>
    <mergeCell ref="C12:D12"/>
    <mergeCell ref="C14:D14"/>
    <mergeCell ref="C15:D15"/>
    <mergeCell ref="C16:D16"/>
    <mergeCell ref="C11:D11"/>
    <mergeCell ref="C9:D9"/>
    <mergeCell ref="C2:D3"/>
    <mergeCell ref="C4:D4"/>
    <mergeCell ref="C5:D5"/>
    <mergeCell ref="C7:D7"/>
    <mergeCell ref="C8:D8"/>
  </mergeCells>
  <dataValidations count="3">
    <dataValidation type="decimal" errorStyle="warning" showErrorMessage="1" errorTitle="Cx" error="Le Cx est souvent compris entre 0 et 1._x000a_Cx may be between 0 &amp; 1." sqref="C16:D16" xr:uid="{00000000-0002-0000-0500-000000000000}">
      <formula1>0</formula1>
      <formula2>1</formula2>
    </dataValidation>
    <dataValidation operator="greaterThanOrEqual" sqref="C10:D11" xr:uid="{00000000-0002-0000-0500-000001000000}"/>
    <dataValidation sqref="C12:D12" xr:uid="{00000000-0002-0000-0500-000002000000}"/>
  </dataValidations>
  <hyperlinks>
    <hyperlink ref="B12"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388620</xdr:colOff>
                <xdr:row>68</xdr:row>
                <xdr:rowOff>22860</xdr:rowOff>
              </from>
              <to>
                <xdr:col>12</xdr:col>
                <xdr:colOff>899160</xdr:colOff>
                <xdr:row>85</xdr:row>
                <xdr:rowOff>15240</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769620</xdr:colOff>
                    <xdr:row>9</xdr:row>
                    <xdr:rowOff>15240</xdr:rowOff>
                  </from>
                  <to>
                    <xdr:col>4</xdr:col>
                    <xdr:colOff>0</xdr:colOff>
                    <xdr:row>10</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769620</xdr:colOff>
                    <xdr:row>10</xdr:row>
                    <xdr:rowOff>15240</xdr:rowOff>
                  </from>
                  <to>
                    <xdr:col>4</xdr:col>
                    <xdr:colOff>0</xdr:colOff>
                    <xdr:row>11</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59"/>
  <sheetViews>
    <sheetView showGridLines="0" topLeftCell="A22" workbookViewId="0">
      <selection activeCell="E49" sqref="E49"/>
    </sheetView>
  </sheetViews>
  <sheetFormatPr baseColWidth="10" defaultRowHeight="13.2" x14ac:dyDescent="0.25"/>
  <cols>
    <col min="1" max="1" width="2.21875" customWidth="1"/>
    <col min="2" max="2" width="16.21875" customWidth="1"/>
    <col min="3" max="4" width="13.6640625" customWidth="1"/>
  </cols>
  <sheetData>
    <row r="2" spans="3:8" x14ac:dyDescent="0.25">
      <c r="C2" s="735" t="s">
        <v>179</v>
      </c>
      <c r="D2" s="735"/>
    </row>
    <row r="3" spans="3:8" x14ac:dyDescent="0.25">
      <c r="C3" s="735"/>
      <c r="D3" s="735"/>
    </row>
    <row r="5" spans="3:8" x14ac:dyDescent="0.25">
      <c r="C5" s="18" t="str">
        <f>IF(Lang="Français","Stabilité de fusée à ailerons","Stability of finned rocket")</f>
        <v>Stabilité de fusée à ailerons</v>
      </c>
    </row>
    <row r="6" spans="3:8" x14ac:dyDescent="0.25">
      <c r="C6" s="19" t="str">
        <f>IF(Lang="Français","Calculs de Stabilité basés sur les équations de Barrowman","Stability calculs are based on Barrowman equations")</f>
        <v>Calculs de Stabilité basés sur les équations de Barrowman</v>
      </c>
    </row>
    <row r="7" spans="3:8" x14ac:dyDescent="0.25">
      <c r="C7" s="18" t="str">
        <f>IF(Lang="Français","Trajectographie de fusée","Rocket Trajectography")</f>
        <v>Trajectographie de fusée</v>
      </c>
    </row>
    <row r="8" spans="3:8" x14ac:dyDescent="0.25">
      <c r="C8" s="19" t="str">
        <f>IF(Lang="Français","Trajectoire dans un plan par calcul pas à pas","Trajectory in a plane, step by step computation")</f>
        <v>Trajectoire dans un plan par calcul pas à pas</v>
      </c>
    </row>
    <row r="9" spans="3:8" x14ac:dyDescent="0.25">
      <c r="C9" s="19"/>
    </row>
    <row r="10" spans="3:8" x14ac:dyDescent="0.25">
      <c r="C10" s="20" t="str">
        <f>IF(Lang="Français","Documentation et équations :","Documentation and equations are aviable in french:")</f>
        <v>Documentation et équations :</v>
      </c>
    </row>
    <row r="11" spans="3:8" x14ac:dyDescent="0.25">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5">
      <c r="C12" t="str">
        <f>IF(Lang="Français","Néanmoins, les équations d'intégration du mouvement utilisées sont légèrement différentes !","")</f>
        <v>Néanmoins, les équations d'intégration du mouvement utilisées sont légèrement différentes !</v>
      </c>
    </row>
    <row r="13" spans="3:8" x14ac:dyDescent="0.25">
      <c r="C13" t="str">
        <f>IF(Lang="Français","Logiciels et dossier technique téléchargeables sur :","Softwares and french documentation can be downloaded at:")</f>
        <v>Logiciels et dossier technique téléchargeables sur :</v>
      </c>
      <c r="H13" s="25" t="s">
        <v>40</v>
      </c>
    </row>
    <row r="15" spans="3:8" x14ac:dyDescent="0.25">
      <c r="C15" s="20" t="str">
        <f>IF(Lang="Français","Pour les experts :","For experts:")</f>
        <v>Pour les experts :</v>
      </c>
    </row>
    <row r="16" spans="3:8" x14ac:dyDescent="0.25">
      <c r="C16" s="24"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5">
      <c r="C17" s="23" t="str">
        <f>IF(Lang="Français","et faire vos modifications personnelles (ajout de moteur...).","and do your personal modification (adding a motor...)")</f>
        <v>et faire vos modifications personnelles (ajout de moteur...).</v>
      </c>
    </row>
    <row r="18" spans="3:8" x14ac:dyDescent="0.25">
      <c r="C18" s="24" t="s">
        <v>421</v>
      </c>
    </row>
    <row r="19" spans="3:8" x14ac:dyDescent="0.25">
      <c r="C19" s="23"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5">
      <c r="C20" s="23" t="str">
        <f>IF(Lang="Français","Aucune Macro. Mise en forme conditionnelle, Noms de zone.","No macro. Conditionnal formating, named zones.")</f>
        <v>Aucune Macro. Mise en forme conditionnelle, Noms de zone.</v>
      </c>
    </row>
    <row r="21" spans="3:8" x14ac:dyDescent="0.25">
      <c r="C21" s="69"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5">
      <c r="C22" s="69" t="str">
        <f>IF(Lang="Français","Les unités sont réglés dans le Format de la cellule.","Units are set in cell number Format")</f>
        <v>Les unités sont réglés dans le Format de la cellule.</v>
      </c>
      <c r="H22" s="21" t="s">
        <v>38</v>
      </c>
    </row>
    <row r="23" spans="3:8" x14ac:dyDescent="0.25">
      <c r="C23" s="23" t="str">
        <f>IF(Lang="Français","Vous pouvez proposer vos améliorations en envoyant votre fichier à : ","Send all remarks and improvements proposals to:")</f>
        <v xml:space="preserve">Vous pouvez proposer vos améliorations en envoyant votre fichier à : </v>
      </c>
      <c r="H23" s="21"/>
    </row>
    <row r="25" spans="3:8" x14ac:dyDescent="0.25">
      <c r="C25" s="20" t="str">
        <f>IF(Lang="Français","Licence :","License:")</f>
        <v>Licence :</v>
      </c>
      <c r="D25" s="22"/>
    </row>
    <row r="26" spans="3:8" x14ac:dyDescent="0.25">
      <c r="C26" t="str">
        <f>IF(Lang="Français","Ce logiciel est placé sous la licence Creative Commons BY-SA","This software is placed under Creative Commons licence BY-SA")</f>
        <v>Ce logiciel est placé sous la licence Creative Commons BY-SA</v>
      </c>
      <c r="H26" s="90" t="s">
        <v>123</v>
      </c>
    </row>
    <row r="28" spans="3:8" x14ac:dyDescent="0.25">
      <c r="C28" s="20" t="str">
        <f>IF(Lang="Français","Compatibilité :","Compatibility:")</f>
        <v>Compatibilité :</v>
      </c>
    </row>
    <row r="29" spans="3:8" x14ac:dyDescent="0.25">
      <c r="C29" t="s">
        <v>153</v>
      </c>
    </row>
    <row r="30" spans="3:8" x14ac:dyDescent="0.25">
      <c r="C30" t="s">
        <v>302</v>
      </c>
    </row>
    <row r="31" spans="3:8" x14ac:dyDescent="0.25">
      <c r="C31" s="70" t="s">
        <v>111</v>
      </c>
    </row>
    <row r="33" spans="3:6" x14ac:dyDescent="0.25">
      <c r="C33" s="20" t="str">
        <f>IF(Lang="Français","Historique :","History:")</f>
        <v>Historique :</v>
      </c>
    </row>
    <row r="34" spans="3:6" x14ac:dyDescent="0.25">
      <c r="C34" t="s">
        <v>103</v>
      </c>
      <c r="D34" t="s">
        <v>43</v>
      </c>
      <c r="E34" s="68" t="s">
        <v>102</v>
      </c>
      <c r="F34" t="str">
        <f>IF(Lang="Français","Essais personnels, héritage d'une feuille de calcul de Vincent Girard, ESO","Personnel tests")</f>
        <v>Essais personnels, héritage d'une feuille de calcul de Vincent Girard, ESO</v>
      </c>
    </row>
    <row r="35" spans="3:6" x14ac:dyDescent="0.25">
      <c r="C35" t="s">
        <v>104</v>
      </c>
      <c r="D35" t="s">
        <v>43</v>
      </c>
      <c r="E35" s="22">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5">
      <c r="C36" t="s">
        <v>105</v>
      </c>
      <c r="D36" t="s">
        <v>43</v>
      </c>
      <c r="E36" s="22">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5">
      <c r="C37" t="s">
        <v>106</v>
      </c>
      <c r="D37" t="s">
        <v>43</v>
      </c>
      <c r="E37" s="22">
        <v>39694</v>
      </c>
      <c r="F37" t="str">
        <f>IF(Lang="Français","Mise en forme","Formatting")</f>
        <v>Mise en forme</v>
      </c>
    </row>
    <row r="38" spans="3:6" x14ac:dyDescent="0.25">
      <c r="C38" t="s">
        <v>107</v>
      </c>
      <c r="D38" t="s">
        <v>43</v>
      </c>
      <c r="E38" s="22">
        <v>39643</v>
      </c>
      <c r="F38" t="str">
        <f>IF(Lang="Français","Essais personnels, héritage d'une feuille de calcul de Félicien Roux, ESO","Personal tests")</f>
        <v>Essais personnels, héritage d'une feuille de calcul de Félicien Roux, ESO</v>
      </c>
    </row>
    <row r="39" spans="3:6" x14ac:dyDescent="0.25">
      <c r="C39" t="s">
        <v>108</v>
      </c>
      <c r="D39" t="s">
        <v>43</v>
      </c>
      <c r="E39" s="22">
        <v>39755</v>
      </c>
      <c r="F39" t="str">
        <f>IF(Lang="Français","Réécriture équations, traduction, érgonomie","Equations, traduction, ergonomy")</f>
        <v>Réécriture équations, traduction, érgonomie</v>
      </c>
    </row>
    <row r="40" spans="3:6" x14ac:dyDescent="0.25">
      <c r="C40" t="s">
        <v>109</v>
      </c>
      <c r="D40" t="s">
        <v>43</v>
      </c>
      <c r="E40" s="22">
        <v>39756</v>
      </c>
      <c r="F40" t="str">
        <f>IF(Lang="Français","Conditions Initiales pour vol 2e étage, 1ère publication","Initial Conditions, 1st publication")</f>
        <v>Conditions Initiales pour vol 2e étage, 1ère publication</v>
      </c>
    </row>
    <row r="41" spans="3:6" x14ac:dyDescent="0.25">
      <c r="C41" t="s">
        <v>110</v>
      </c>
      <c r="D41" t="s">
        <v>43</v>
      </c>
      <c r="E41" s="22">
        <v>40658</v>
      </c>
      <c r="F41" t="s">
        <v>53</v>
      </c>
    </row>
    <row r="42" spans="3:6" x14ac:dyDescent="0.25">
      <c r="C42" t="s">
        <v>180</v>
      </c>
      <c r="D42" t="s">
        <v>43</v>
      </c>
      <c r="E42" s="22">
        <v>40868</v>
      </c>
      <c r="F42" t="str">
        <f>IF(Lang="Français","Fusion Stabilito+Trajecto, mise en forme, Ctrl, RC, H2O, Abaco","Merge Stabilito+Trajecto, formatting, Ctrl, RC, H2O, Abaco")</f>
        <v>Fusion Stabilito+Trajecto, mise en forme, Ctrl, RC, H2O, Abaco</v>
      </c>
    </row>
    <row r="43" spans="3:6" x14ac:dyDescent="0.25">
      <c r="C43" t="s">
        <v>329</v>
      </c>
      <c r="D43" t="s">
        <v>43</v>
      </c>
      <c r="E43" s="22">
        <v>41194</v>
      </c>
      <c r="F43" t="s">
        <v>333</v>
      </c>
    </row>
    <row r="44" spans="3:6" x14ac:dyDescent="0.25">
      <c r="C44" t="s">
        <v>330</v>
      </c>
      <c r="D44" t="s">
        <v>43</v>
      </c>
      <c r="E44" s="22">
        <v>41329</v>
      </c>
      <c r="F44" t="s">
        <v>334</v>
      </c>
    </row>
    <row r="45" spans="3:6" x14ac:dyDescent="0.25">
      <c r="C45" t="s">
        <v>418</v>
      </c>
      <c r="D45" t="s">
        <v>397</v>
      </c>
      <c r="E45" s="22">
        <v>41947</v>
      </c>
      <c r="F45" t="s">
        <v>417</v>
      </c>
    </row>
    <row r="46" spans="3:6" x14ac:dyDescent="0.25">
      <c r="C46" t="s">
        <v>422</v>
      </c>
      <c r="D46" t="s">
        <v>397</v>
      </c>
      <c r="E46" s="22">
        <v>41965</v>
      </c>
      <c r="F46" t="s">
        <v>420</v>
      </c>
    </row>
    <row r="47" spans="3:6" x14ac:dyDescent="0.25">
      <c r="C47" t="s">
        <v>544</v>
      </c>
      <c r="D47" t="s">
        <v>397</v>
      </c>
      <c r="E47" s="22">
        <v>43048</v>
      </c>
      <c r="F47" t="s">
        <v>545</v>
      </c>
    </row>
    <row r="48" spans="3:6" x14ac:dyDescent="0.25">
      <c r="C48" t="s">
        <v>549</v>
      </c>
      <c r="D48" t="s">
        <v>397</v>
      </c>
      <c r="E48" s="22">
        <v>44160</v>
      </c>
      <c r="F48" t="s">
        <v>551</v>
      </c>
    </row>
    <row r="49" spans="3:6" x14ac:dyDescent="0.25">
      <c r="E49" s="22"/>
    </row>
    <row r="51" spans="3:6" x14ac:dyDescent="0.25">
      <c r="C51" s="20" t="str">
        <f>IF(Lang="Français","Paramètres de référence :","Reference parameters:")</f>
        <v>Paramètres de référence :</v>
      </c>
    </row>
    <row r="52" spans="3:6" x14ac:dyDescent="0.25">
      <c r="C52" s="84" t="str">
        <f>IF(Lang="Français","Gravité g :","Gravity g")</f>
        <v>Gravité g :</v>
      </c>
      <c r="E52" s="84">
        <v>9.81</v>
      </c>
      <c r="F52" s="84" t="s">
        <v>7</v>
      </c>
    </row>
    <row r="53" spans="3:6" x14ac:dyDescent="0.25">
      <c r="C53" s="84" t="str">
        <f>IF(Lang="Français","Masse volumique de l'air ρ :","Air density ρ")</f>
        <v>Masse volumique de l'air ρ :</v>
      </c>
      <c r="E53" s="85">
        <v>1.2250000000000001</v>
      </c>
      <c r="F53" s="84" t="s">
        <v>8</v>
      </c>
    </row>
    <row r="54" spans="3:6" x14ac:dyDescent="0.25">
      <c r="C54" s="69"/>
    </row>
    <row r="55" spans="3:6" x14ac:dyDescent="0.25">
      <c r="C55" s="69"/>
    </row>
    <row r="56" spans="3:6" x14ac:dyDescent="0.25">
      <c r="C56" s="69"/>
    </row>
    <row r="57" spans="3:6" x14ac:dyDescent="0.25">
      <c r="C57" s="69"/>
    </row>
    <row r="58" spans="3:6" x14ac:dyDescent="0.25">
      <c r="C58" s="69"/>
    </row>
    <row r="59" spans="3:6" x14ac:dyDescent="0.25">
      <c r="C59" s="69"/>
    </row>
  </sheetData>
  <sheetProtection password="C6AC"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topLeftCell="D1" zoomScaleNormal="100" workbookViewId="0">
      <selection activeCell="H4" sqref="H4"/>
    </sheetView>
  </sheetViews>
  <sheetFormatPr baseColWidth="10" defaultColWidth="11.6640625" defaultRowHeight="13.2" x14ac:dyDescent="0.25"/>
  <cols>
    <col min="1" max="2" width="2.21875" customWidth="1"/>
    <col min="3" max="3" width="12.6640625" customWidth="1"/>
    <col min="4" max="4" width="21" customWidth="1"/>
    <col min="7" max="7" width="26.6640625" customWidth="1"/>
    <col min="8" max="9" width="6.77734375" customWidth="1"/>
    <col min="10" max="10" width="10" customWidth="1"/>
    <col min="11" max="11" width="13" customWidth="1"/>
    <col min="12" max="12" width="21.21875" customWidth="1"/>
    <col min="14" max="14" width="2.21875" customWidth="1"/>
    <col min="18" max="19" width="16.21875" customWidth="1"/>
  </cols>
  <sheetData>
    <row r="1" spans="2:21" ht="13.8" thickBot="1" x14ac:dyDescent="0.3">
      <c r="O1" s="8"/>
      <c r="P1" s="499"/>
      <c r="Q1" s="500"/>
      <c r="R1" s="499"/>
      <c r="S1" s="499"/>
      <c r="T1" s="499"/>
      <c r="U1" s="499"/>
    </row>
    <row r="2" spans="2:21" ht="13.8" thickBot="1" x14ac:dyDescent="0.3">
      <c r="B2" s="93"/>
      <c r="C2" s="94"/>
      <c r="D2" s="94"/>
      <c r="E2" s="94"/>
      <c r="F2" s="94"/>
      <c r="G2" s="94"/>
      <c r="H2" s="94"/>
      <c r="I2" s="94"/>
      <c r="J2" s="94"/>
      <c r="K2" s="94"/>
      <c r="L2" s="94"/>
      <c r="M2" s="94"/>
      <c r="N2" s="95"/>
      <c r="O2" s="8"/>
      <c r="P2" s="499"/>
      <c r="Q2" s="500"/>
      <c r="R2" s="499"/>
      <c r="S2" s="499"/>
      <c r="T2" s="499"/>
      <c r="U2" s="499"/>
    </row>
    <row r="3" spans="2:21" ht="15.75" customHeight="1" thickBot="1" x14ac:dyDescent="0.3">
      <c r="B3" s="96"/>
      <c r="C3" s="81"/>
      <c r="D3" s="2" t="s">
        <v>431</v>
      </c>
      <c r="E3" s="81"/>
      <c r="F3" s="81"/>
      <c r="G3" s="81"/>
      <c r="H3" s="81"/>
      <c r="I3" s="81"/>
      <c r="J3" s="81"/>
      <c r="K3" s="81"/>
      <c r="L3" s="81"/>
      <c r="M3" s="81"/>
      <c r="N3" s="97"/>
      <c r="O3" s="8"/>
      <c r="P3" s="501" t="s">
        <v>342</v>
      </c>
      <c r="Q3" s="511">
        <f>Long_ogive</f>
        <v>250</v>
      </c>
      <c r="R3" s="499"/>
      <c r="S3" s="499"/>
      <c r="T3" s="499"/>
      <c r="U3" s="499"/>
    </row>
    <row r="4" spans="2:21" ht="15.75" customHeight="1" x14ac:dyDescent="0.25">
      <c r="B4" s="96"/>
      <c r="C4" s="81"/>
      <c r="D4" s="2"/>
      <c r="E4" s="81"/>
      <c r="F4" s="81"/>
      <c r="G4" s="81"/>
      <c r="H4" s="81"/>
      <c r="I4" s="81"/>
      <c r="J4" s="81"/>
      <c r="K4" s="81"/>
      <c r="L4" s="81"/>
      <c r="M4" s="81"/>
      <c r="N4" s="97"/>
      <c r="O4" s="8"/>
      <c r="P4" s="501"/>
      <c r="Q4" s="505"/>
      <c r="R4" s="499"/>
      <c r="S4" s="499"/>
      <c r="T4" s="499"/>
      <c r="U4" s="499"/>
    </row>
    <row r="5" spans="2:21" ht="15.75" customHeight="1" x14ac:dyDescent="0.25">
      <c r="B5" s="96"/>
      <c r="C5" s="81"/>
      <c r="D5" s="644" t="s">
        <v>464</v>
      </c>
      <c r="E5" s="81" t="str">
        <f>Propu</f>
        <v>Orignal (Pro75-3G C)</v>
      </c>
      <c r="F5" s="81"/>
      <c r="G5" s="81" t="s">
        <v>461</v>
      </c>
      <c r="H5" s="81">
        <f>MasseSans</f>
        <v>9</v>
      </c>
      <c r="I5" s="81"/>
      <c r="J5" s="81"/>
      <c r="K5" s="81"/>
      <c r="L5" s="81"/>
      <c r="M5" s="81"/>
      <c r="N5" s="97"/>
      <c r="O5" s="8"/>
      <c r="P5" s="501"/>
      <c r="Q5" s="505"/>
      <c r="R5" s="499"/>
      <c r="S5" s="499"/>
      <c r="T5" s="499"/>
      <c r="U5" s="499"/>
    </row>
    <row r="6" spans="2:21" x14ac:dyDescent="0.25">
      <c r="B6" s="96"/>
      <c r="D6" s="81" t="s">
        <v>457</v>
      </c>
      <c r="E6" s="2" t="str">
        <f>Trajecto!H32</f>
        <v>Brun/Orange…</v>
      </c>
      <c r="G6" s="81" t="s">
        <v>462</v>
      </c>
      <c r="H6" s="81">
        <f>D_ref</f>
        <v>100</v>
      </c>
      <c r="I6" s="81"/>
      <c r="J6" s="81"/>
      <c r="K6" s="81"/>
      <c r="L6" s="81"/>
      <c r="M6" s="81"/>
      <c r="N6" s="97"/>
      <c r="O6" s="8"/>
      <c r="P6" s="501"/>
      <c r="Q6" s="505"/>
      <c r="R6" s="499"/>
      <c r="S6" s="499"/>
      <c r="T6" s="499"/>
      <c r="U6" s="499"/>
    </row>
    <row r="7" spans="2:21" x14ac:dyDescent="0.25">
      <c r="B7" s="96"/>
      <c r="D7" s="81" t="s">
        <v>459</v>
      </c>
      <c r="E7" s="2" t="str">
        <f>Trajecto!H33</f>
        <v>Rouge…</v>
      </c>
      <c r="G7" t="s">
        <v>5</v>
      </c>
      <c r="H7">
        <f>Cx</f>
        <v>0.5</v>
      </c>
      <c r="I7" s="81"/>
      <c r="J7" s="81"/>
      <c r="K7" s="81"/>
      <c r="L7" s="81"/>
      <c r="M7" s="81"/>
      <c r="N7" s="97"/>
      <c r="O7" s="8"/>
      <c r="P7" s="501"/>
      <c r="Q7" s="505"/>
      <c r="R7" s="499"/>
      <c r="S7" s="499"/>
      <c r="T7" s="499"/>
      <c r="U7" s="499"/>
    </row>
    <row r="8" spans="2:21" x14ac:dyDescent="0.25">
      <c r="B8" s="96"/>
      <c r="D8" s="81" t="s">
        <v>460</v>
      </c>
      <c r="E8" s="2">
        <f>S_para</f>
        <v>3.1101767270538949</v>
      </c>
      <c r="G8" s="81" t="s">
        <v>463</v>
      </c>
      <c r="H8" s="81">
        <f>L_rampe</f>
        <v>4</v>
      </c>
      <c r="I8" s="81"/>
      <c r="J8" s="81"/>
      <c r="K8" s="81"/>
      <c r="L8" s="81"/>
      <c r="M8" s="81"/>
      <c r="N8" s="97"/>
      <c r="O8" s="8"/>
      <c r="P8" s="501"/>
      <c r="Q8" s="505"/>
      <c r="R8" s="499"/>
      <c r="S8" s="499"/>
      <c r="T8" s="499"/>
      <c r="U8" s="499"/>
    </row>
    <row r="9" spans="2:21" x14ac:dyDescent="0.25">
      <c r="B9" s="96"/>
      <c r="D9" s="24" t="s">
        <v>458</v>
      </c>
      <c r="E9" s="2"/>
      <c r="G9" s="24" t="s">
        <v>147</v>
      </c>
      <c r="H9" s="643" t="str">
        <f>Forme_ogive</f>
        <v>Ogivale (pointue)</v>
      </c>
      <c r="I9" s="81"/>
      <c r="J9" s="81"/>
      <c r="K9" s="81"/>
      <c r="L9" s="81"/>
      <c r="M9" s="81"/>
      <c r="N9" s="97"/>
      <c r="O9" s="8"/>
      <c r="P9" s="501"/>
      <c r="Q9" s="505"/>
      <c r="R9" s="499"/>
      <c r="S9" s="499"/>
      <c r="T9" s="499"/>
      <c r="U9" s="499"/>
    </row>
    <row r="10" spans="2:21" x14ac:dyDescent="0.25">
      <c r="B10" s="96"/>
      <c r="C10" s="81"/>
      <c r="D10" s="81"/>
      <c r="E10" s="81"/>
      <c r="F10" s="4"/>
      <c r="G10" s="492"/>
      <c r="H10" s="81"/>
      <c r="I10" s="81"/>
      <c r="J10" s="81"/>
      <c r="K10" s="81"/>
      <c r="L10" s="81"/>
      <c r="M10" s="81"/>
      <c r="N10" s="97"/>
      <c r="O10" s="618"/>
      <c r="P10" s="499"/>
      <c r="Q10" s="505"/>
      <c r="R10" s="499"/>
      <c r="S10" s="499"/>
      <c r="T10" s="499"/>
      <c r="U10" s="499"/>
    </row>
    <row r="11" spans="2:21" ht="13.8" thickBot="1" x14ac:dyDescent="0.3">
      <c r="B11" s="96"/>
      <c r="C11" s="608"/>
      <c r="D11" s="323" t="s">
        <v>456</v>
      </c>
      <c r="E11" s="287">
        <f>MasseSans</f>
        <v>9</v>
      </c>
      <c r="F11" s="610" t="s">
        <v>124</v>
      </c>
      <c r="G11" s="610" t="s">
        <v>126</v>
      </c>
      <c r="H11" s="773">
        <f ca="1">Vsortie_de_rampe</f>
        <v>24.697246019645213</v>
      </c>
      <c r="I11" s="774"/>
      <c r="J11" s="98"/>
      <c r="K11" s="81"/>
      <c r="L11" s="81"/>
      <c r="M11" s="81"/>
      <c r="N11" s="97"/>
      <c r="O11" s="81"/>
      <c r="P11" s="499"/>
      <c r="Q11" s="505"/>
      <c r="R11" s="499"/>
      <c r="S11" s="499"/>
      <c r="T11" s="499"/>
      <c r="U11" s="510" t="str">
        <f>IF(RIGHT(Nb_diam,1)=",", "", X_j)</f>
        <v/>
      </c>
    </row>
    <row r="12" spans="2:21" ht="13.8" thickBot="1" x14ac:dyDescent="0.3">
      <c r="B12" s="96"/>
      <c r="C12" s="608"/>
      <c r="D12" s="324"/>
      <c r="E12" s="288"/>
      <c r="F12" s="492" t="s">
        <v>124</v>
      </c>
      <c r="G12" s="492" t="s">
        <v>127</v>
      </c>
      <c r="H12" s="775">
        <f>Finesse</f>
        <v>18</v>
      </c>
      <c r="I12" s="776"/>
      <c r="J12" s="98"/>
      <c r="K12" s="81"/>
      <c r="L12" s="81"/>
      <c r="M12" s="81"/>
      <c r="N12" s="97"/>
      <c r="O12" s="8"/>
      <c r="P12" s="501" t="s">
        <v>343</v>
      </c>
      <c r="Q12" s="511">
        <f>D_og</f>
        <v>100</v>
      </c>
      <c r="R12" s="499"/>
      <c r="S12" s="499"/>
      <c r="T12" s="499"/>
      <c r="U12" s="505"/>
    </row>
    <row r="13" spans="2:21" x14ac:dyDescent="0.25">
      <c r="B13" s="96"/>
      <c r="C13" s="608"/>
      <c r="D13" s="324" t="s">
        <v>5</v>
      </c>
      <c r="E13" s="288">
        <f>Cx</f>
        <v>0.5</v>
      </c>
      <c r="F13" s="492" t="s">
        <v>124</v>
      </c>
      <c r="G13" s="492" t="s">
        <v>435</v>
      </c>
      <c r="H13" s="775">
        <f>Cn</f>
        <v>22.203078547045632</v>
      </c>
      <c r="I13" s="776"/>
      <c r="J13" s="98"/>
      <c r="K13" s="81"/>
      <c r="L13" s="81"/>
      <c r="M13" s="81"/>
      <c r="N13" s="97"/>
      <c r="O13" s="8"/>
      <c r="P13" s="499"/>
      <c r="Q13" s="505"/>
      <c r="R13" s="499"/>
      <c r="S13" s="499"/>
      <c r="T13" s="499"/>
      <c r="U13" s="510" t="str">
        <f>IF(RIGHT(Nb_diam,1)=",", "", X_r)</f>
        <v/>
      </c>
    </row>
    <row r="14" spans="2:21" x14ac:dyDescent="0.25">
      <c r="B14" s="96"/>
      <c r="C14" s="555"/>
      <c r="D14" s="324" t="s">
        <v>144</v>
      </c>
      <c r="E14" s="288">
        <f>L_rampe</f>
        <v>4</v>
      </c>
      <c r="F14" s="492" t="s">
        <v>124</v>
      </c>
      <c r="G14" s="492" t="s">
        <v>128</v>
      </c>
      <c r="H14" s="304">
        <f ca="1">MS_min</f>
        <v>2.8801592027938705</v>
      </c>
      <c r="I14" s="612">
        <f ca="1">MS_max</f>
        <v>3.4083177735054528</v>
      </c>
      <c r="J14" s="98"/>
      <c r="K14" s="98"/>
      <c r="L14" s="81"/>
      <c r="M14" s="81"/>
      <c r="N14" s="97"/>
      <c r="O14" s="81"/>
      <c r="P14" s="499"/>
      <c r="Q14" s="505"/>
      <c r="R14" s="499"/>
      <c r="S14" s="499"/>
      <c r="T14" s="499"/>
      <c r="U14" s="505"/>
    </row>
    <row r="15" spans="2:21" x14ac:dyDescent="0.25">
      <c r="B15" s="96"/>
      <c r="C15" s="555"/>
      <c r="D15" s="324" t="s">
        <v>145</v>
      </c>
      <c r="E15" s="288">
        <f>ep_ail</f>
        <v>2</v>
      </c>
      <c r="F15" s="492" t="s">
        <v>124</v>
      </c>
      <c r="G15" s="492" t="s">
        <v>125</v>
      </c>
      <c r="H15" s="304">
        <f ca="1">MS_Cn_min</f>
        <v>63.948401007628632</v>
      </c>
      <c r="I15" s="612">
        <f ca="1">MS_Cn_max</f>
        <v>75.675147238433254</v>
      </c>
      <c r="J15" s="98"/>
      <c r="K15" s="98"/>
      <c r="L15" s="81"/>
      <c r="M15" s="81"/>
      <c r="N15" s="97"/>
      <c r="O15" s="81"/>
      <c r="P15" s="499"/>
      <c r="Q15" s="505"/>
      <c r="R15" s="499"/>
      <c r="S15" s="499"/>
      <c r="T15" s="499"/>
    </row>
    <row r="16" spans="2:21" x14ac:dyDescent="0.25">
      <c r="B16" s="96"/>
      <c r="C16" s="555"/>
      <c r="D16" s="324" t="s">
        <v>146</v>
      </c>
      <c r="E16" s="288">
        <f>Q_ail</f>
        <v>4</v>
      </c>
      <c r="F16" s="492" t="s">
        <v>129</v>
      </c>
      <c r="G16" s="492" t="s">
        <v>130</v>
      </c>
      <c r="H16" s="304">
        <f ca="1">V_para</f>
        <v>7.4014859065283671</v>
      </c>
      <c r="I16" s="611">
        <f>V_satellite</f>
        <v>12.655562623057198</v>
      </c>
      <c r="J16" s="98"/>
      <c r="K16" s="81"/>
      <c r="L16" s="81"/>
      <c r="M16" s="81"/>
      <c r="N16" s="97"/>
      <c r="O16" s="81"/>
      <c r="P16" s="499"/>
      <c r="Q16" s="505"/>
      <c r="R16" s="499"/>
      <c r="S16" s="499"/>
      <c r="T16" s="499"/>
      <c r="U16" s="510" t="str">
        <f>IF(RIGHT(Nb_diam,1)=",", "", l_j)</f>
        <v/>
      </c>
    </row>
    <row r="17" spans="2:21" x14ac:dyDescent="0.25">
      <c r="B17" s="96"/>
      <c r="C17" s="555"/>
      <c r="D17" s="324" t="s">
        <v>147</v>
      </c>
      <c r="E17" s="320" t="str">
        <f>Forme_ogive</f>
        <v>Ogivale (pointue)</v>
      </c>
      <c r="F17" s="492" t="s">
        <v>131</v>
      </c>
      <c r="G17" s="492" t="s">
        <v>132</v>
      </c>
      <c r="H17" s="775">
        <f>T_para</f>
        <v>21</v>
      </c>
      <c r="I17" s="776"/>
      <c r="J17" s="302"/>
      <c r="K17" s="81"/>
      <c r="L17" s="81"/>
      <c r="M17" s="81"/>
      <c r="N17" s="97"/>
      <c r="O17" s="81"/>
      <c r="P17" s="502" t="s">
        <v>344</v>
      </c>
      <c r="Q17" s="510" t="str">
        <f>IF(RIGHT(Nb_diam,1)=",", "", D2j)</f>
        <v/>
      </c>
      <c r="R17" s="499"/>
      <c r="S17" s="499"/>
      <c r="T17" s="499"/>
      <c r="U17" s="505"/>
    </row>
    <row r="18" spans="2:21" x14ac:dyDescent="0.25">
      <c r="B18" s="96"/>
      <c r="C18" s="555"/>
      <c r="D18" s="324" t="s">
        <v>149</v>
      </c>
      <c r="E18" s="288">
        <f ca="1">XpropuRef-Long_propu</f>
        <v>1314</v>
      </c>
      <c r="F18" s="608" t="s">
        <v>131</v>
      </c>
      <c r="G18" s="608" t="s">
        <v>429</v>
      </c>
      <c r="H18" s="779">
        <f ca="1">T_para-Combustion-Depotage</f>
        <v>21</v>
      </c>
      <c r="I18" s="780"/>
      <c r="J18" s="81"/>
      <c r="K18" s="81"/>
      <c r="L18" s="81"/>
      <c r="M18" s="81"/>
      <c r="N18" s="97"/>
      <c r="O18" s="81"/>
      <c r="P18" s="499"/>
      <c r="Q18" s="505"/>
      <c r="R18" s="499"/>
      <c r="S18" s="499"/>
    </row>
    <row r="19" spans="2:21" x14ac:dyDescent="0.25">
      <c r="B19" s="96"/>
      <c r="C19" s="642"/>
      <c r="D19" s="317"/>
      <c r="E19" s="319"/>
      <c r="F19" s="615" t="s">
        <v>133</v>
      </c>
      <c r="G19" s="613" t="s">
        <v>428</v>
      </c>
      <c r="H19" s="781">
        <f ca="1">Portee_balistique</f>
        <v>1741.4112148507097</v>
      </c>
      <c r="I19" s="782"/>
      <c r="J19" s="81"/>
      <c r="K19" s="81"/>
      <c r="L19" s="81"/>
      <c r="M19" s="81"/>
      <c r="N19" s="97"/>
      <c r="O19" s="81"/>
      <c r="P19" s="499"/>
      <c r="Q19" s="505"/>
      <c r="R19" s="499"/>
      <c r="S19" s="499"/>
      <c r="T19" s="499"/>
    </row>
    <row r="20" spans="2:21" x14ac:dyDescent="0.25">
      <c r="B20" s="96"/>
      <c r="C20" s="555"/>
      <c r="D20" s="8"/>
      <c r="E20" s="8"/>
      <c r="H20" s="614"/>
      <c r="I20" s="614"/>
      <c r="J20" s="81"/>
      <c r="K20" s="81"/>
      <c r="L20" s="81"/>
      <c r="M20" s="81"/>
      <c r="N20" s="97"/>
      <c r="O20" s="81"/>
      <c r="P20" s="499"/>
      <c r="Q20" s="505"/>
      <c r="R20" s="499"/>
      <c r="S20" s="499"/>
      <c r="T20" s="499"/>
      <c r="U20" s="510" t="str">
        <f>IF(RIGHT(Nb_diam,1)=",", "", l_r)</f>
        <v/>
      </c>
    </row>
    <row r="21" spans="2:21" x14ac:dyDescent="0.25">
      <c r="B21" s="96"/>
      <c r="C21" s="555"/>
      <c r="D21" s="8"/>
      <c r="E21" s="311"/>
      <c r="F21" s="4"/>
      <c r="G21" s="492"/>
      <c r="H21" s="614"/>
      <c r="I21" s="614"/>
      <c r="J21" s="81"/>
      <c r="K21" s="81"/>
      <c r="L21" s="81"/>
      <c r="M21" s="81"/>
      <c r="N21" s="97"/>
      <c r="O21" s="620"/>
      <c r="P21" s="505"/>
      <c r="Q21" s="500"/>
      <c r="R21" s="499"/>
      <c r="S21" s="499"/>
      <c r="T21" s="621"/>
      <c r="U21" s="505"/>
    </row>
    <row r="22" spans="2:21" x14ac:dyDescent="0.25">
      <c r="B22" s="96"/>
      <c r="C22" s="633" t="s">
        <v>455</v>
      </c>
      <c r="D22" s="630" t="s">
        <v>439</v>
      </c>
      <c r="E22" s="631"/>
      <c r="F22" s="632" t="s">
        <v>444</v>
      </c>
      <c r="G22" s="633" t="s">
        <v>449</v>
      </c>
      <c r="I22" s="634"/>
      <c r="J22" s="641" t="s">
        <v>157</v>
      </c>
      <c r="K22" s="630" t="s">
        <v>158</v>
      </c>
      <c r="N22" s="97"/>
      <c r="O22" s="620"/>
      <c r="P22" s="505"/>
      <c r="Q22" s="500"/>
      <c r="R22" s="499"/>
      <c r="S22" s="499"/>
      <c r="T22" s="621"/>
      <c r="U22" s="505"/>
    </row>
    <row r="23" spans="2:21" x14ac:dyDescent="0.25">
      <c r="B23" s="96"/>
      <c r="C23" s="633" t="s">
        <v>454</v>
      </c>
      <c r="D23" s="631">
        <f>XcgSans</f>
        <v>1140</v>
      </c>
      <c r="E23" s="631" t="s">
        <v>39</v>
      </c>
      <c r="F23" s="636">
        <f>m_ail</f>
        <v>250</v>
      </c>
      <c r="G23" s="637">
        <f>m_can</f>
        <v>70</v>
      </c>
      <c r="I23" s="634" t="s">
        <v>450</v>
      </c>
      <c r="J23" s="638">
        <f>l_j</f>
        <v>50</v>
      </c>
      <c r="K23" s="635">
        <f>l_r</f>
        <v>50</v>
      </c>
      <c r="N23" s="97"/>
      <c r="O23" s="620"/>
      <c r="P23" s="505"/>
      <c r="Q23" s="500"/>
      <c r="R23" s="499"/>
      <c r="S23" s="499"/>
      <c r="T23" s="621"/>
      <c r="U23" s="505"/>
    </row>
    <row r="24" spans="2:21" x14ac:dyDescent="0.25">
      <c r="B24" s="96"/>
      <c r="C24" s="633" t="s">
        <v>442</v>
      </c>
      <c r="D24" s="635">
        <f>Long_tot</f>
        <v>1800</v>
      </c>
      <c r="E24" s="631" t="s">
        <v>445</v>
      </c>
      <c r="F24" s="636">
        <f>n_ail</f>
        <v>120</v>
      </c>
      <c r="G24" s="637">
        <f>n_can</f>
        <v>10</v>
      </c>
      <c r="I24" s="634" t="s">
        <v>451</v>
      </c>
      <c r="J24" s="638">
        <f>D1j</f>
        <v>100</v>
      </c>
      <c r="K24" s="635">
        <f>D1r</f>
        <v>80</v>
      </c>
      <c r="N24" s="97"/>
      <c r="O24" s="620"/>
      <c r="P24" s="505"/>
      <c r="Q24" s="500"/>
      <c r="R24" s="499"/>
      <c r="S24" s="499"/>
      <c r="T24" s="621"/>
      <c r="U24" s="505"/>
    </row>
    <row r="25" spans="2:21" x14ac:dyDescent="0.25">
      <c r="B25" s="96"/>
      <c r="C25" s="633" t="s">
        <v>443</v>
      </c>
      <c r="D25" s="635">
        <f>XpropuRef</f>
        <v>1800</v>
      </c>
      <c r="E25" s="631" t="s">
        <v>446</v>
      </c>
      <c r="F25" s="636">
        <f>p_ail</f>
        <v>200</v>
      </c>
      <c r="G25" s="637">
        <f>p_can</f>
        <v>40</v>
      </c>
      <c r="I25" s="634" t="s">
        <v>452</v>
      </c>
      <c r="J25" s="638">
        <f>D2j</f>
        <v>80</v>
      </c>
      <c r="K25" s="635">
        <f>D2r</f>
        <v>100</v>
      </c>
      <c r="N25" s="97"/>
      <c r="O25" s="620"/>
      <c r="P25" s="505"/>
      <c r="Q25" s="500"/>
      <c r="R25" s="499"/>
      <c r="S25" s="499"/>
      <c r="T25" s="621"/>
      <c r="U25" s="505"/>
    </row>
    <row r="26" spans="2:21" x14ac:dyDescent="0.25">
      <c r="B26" s="96"/>
      <c r="C26" s="633" t="s">
        <v>440</v>
      </c>
      <c r="D26" s="635">
        <f>D_ref</f>
        <v>100</v>
      </c>
      <c r="E26" s="631" t="s">
        <v>447</v>
      </c>
      <c r="F26" s="636">
        <f>E_ail</f>
        <v>160</v>
      </c>
      <c r="G26" s="637">
        <f>E_can</f>
        <v>50</v>
      </c>
      <c r="I26" s="634" t="s">
        <v>453</v>
      </c>
      <c r="J26" s="638">
        <f>X_j</f>
        <v>300</v>
      </c>
      <c r="K26" s="635">
        <f>X_r</f>
        <v>500</v>
      </c>
      <c r="N26" s="97"/>
      <c r="O26" s="620"/>
      <c r="P26" s="505"/>
      <c r="Q26" s="500"/>
      <c r="R26" s="499"/>
      <c r="S26" s="499"/>
      <c r="T26" s="621"/>
      <c r="U26" s="505"/>
    </row>
    <row r="27" spans="2:21" x14ac:dyDescent="0.25">
      <c r="B27" s="96"/>
      <c r="C27" s="633" t="s">
        <v>441</v>
      </c>
      <c r="D27" s="635">
        <f>Long_ogive</f>
        <v>250</v>
      </c>
      <c r="E27" s="631" t="s">
        <v>448</v>
      </c>
      <c r="F27" s="636">
        <f>X_ail</f>
        <v>1800</v>
      </c>
      <c r="G27" s="637">
        <f>X_can</f>
        <v>700</v>
      </c>
      <c r="H27" s="614"/>
      <c r="I27" s="639"/>
      <c r="J27" s="640"/>
      <c r="N27" s="97"/>
      <c r="O27" s="620"/>
      <c r="P27" s="505"/>
      <c r="Q27" s="500"/>
      <c r="R27" s="499"/>
      <c r="S27" s="499"/>
      <c r="T27" s="621"/>
      <c r="U27" s="505"/>
    </row>
    <row r="28" spans="2:21" ht="13.8" thickBot="1" x14ac:dyDescent="0.3">
      <c r="B28" s="96"/>
      <c r="C28" s="81"/>
      <c r="D28" s="81"/>
      <c r="E28" s="124"/>
      <c r="F28" s="81"/>
      <c r="G28" s="81"/>
      <c r="H28" s="81"/>
      <c r="I28" s="81"/>
      <c r="J28" s="81"/>
      <c r="K28" s="81"/>
      <c r="L28" s="81"/>
      <c r="M28" s="81"/>
      <c r="N28" s="97"/>
      <c r="O28" s="2"/>
      <c r="P28" s="8"/>
      <c r="Q28" s="2"/>
      <c r="R28" s="499"/>
      <c r="S28" s="499"/>
      <c r="T28" s="499"/>
      <c r="U28" s="505"/>
    </row>
    <row r="29" spans="2:21" ht="13.8" thickBot="1" x14ac:dyDescent="0.3">
      <c r="B29" s="96"/>
      <c r="C29" s="778" t="s">
        <v>142</v>
      </c>
      <c r="D29" s="778" t="s">
        <v>134</v>
      </c>
      <c r="E29" s="778" t="s">
        <v>135</v>
      </c>
      <c r="F29" s="778"/>
      <c r="G29" s="778"/>
      <c r="H29" s="777" t="s">
        <v>136</v>
      </c>
      <c r="I29" s="777"/>
      <c r="J29" s="777"/>
      <c r="K29" s="777"/>
      <c r="L29" s="778" t="s">
        <v>137</v>
      </c>
      <c r="M29" s="778" t="s">
        <v>138</v>
      </c>
      <c r="N29" s="97"/>
      <c r="O29" s="620" t="s">
        <v>432</v>
      </c>
      <c r="P29" s="511">
        <f>n_ail</f>
        <v>120</v>
      </c>
      <c r="Q29" s="2"/>
      <c r="R29" s="499"/>
      <c r="S29" s="499"/>
      <c r="T29" s="499"/>
      <c r="U29" s="609" t="s">
        <v>436</v>
      </c>
    </row>
    <row r="30" spans="2:21" ht="13.8" thickBot="1" x14ac:dyDescent="0.3">
      <c r="B30" s="96"/>
      <c r="C30" s="778"/>
      <c r="D30" s="778"/>
      <c r="E30" s="778"/>
      <c r="F30" s="778"/>
      <c r="G30" s="778"/>
      <c r="H30" s="777" t="s">
        <v>139</v>
      </c>
      <c r="I30" s="777"/>
      <c r="J30" s="91" t="s">
        <v>140</v>
      </c>
      <c r="K30" s="92" t="s">
        <v>141</v>
      </c>
      <c r="L30" s="778"/>
      <c r="M30" s="778"/>
      <c r="N30" s="97"/>
      <c r="P30" s="512"/>
      <c r="R30" s="499"/>
      <c r="S30" s="499"/>
      <c r="T30" s="619" t="s">
        <v>434</v>
      </c>
      <c r="U30" s="625">
        <f>[0]!p_can</f>
        <v>40</v>
      </c>
    </row>
    <row r="31" spans="2:21" ht="13.8" thickBot="1" x14ac:dyDescent="0.3">
      <c r="B31" s="96"/>
      <c r="C31" s="107">
        <f>Beta_rampe</f>
        <v>80</v>
      </c>
      <c r="D31" s="108">
        <f ca="1">Portee_balistique</f>
        <v>1741.4112148507097</v>
      </c>
      <c r="E31" s="783">
        <f ca="1">T_para+Dt_para</f>
        <v>356.43578011103023</v>
      </c>
      <c r="F31" s="783"/>
      <c r="G31" s="783"/>
      <c r="H31" s="784">
        <f ca="1">Altitude_culmi</f>
        <v>2493.3072967125281</v>
      </c>
      <c r="I31" s="784"/>
      <c r="J31" s="109">
        <f ca="1">Temps_culmi</f>
        <v>22.399999999999988</v>
      </c>
      <c r="K31" s="110">
        <f ca="1">Vit_culmi</f>
        <v>38.487796957243191</v>
      </c>
      <c r="L31" s="108">
        <f ca="1">Acc_max</f>
        <v>92.916225100527598</v>
      </c>
      <c r="M31" s="110">
        <f ca="1">Vit_max</f>
        <v>249.42595514291844</v>
      </c>
      <c r="N31" s="97"/>
      <c r="O31" s="620" t="s">
        <v>438</v>
      </c>
      <c r="P31" s="511">
        <f>ep_ail</f>
        <v>2</v>
      </c>
      <c r="Q31" s="2"/>
      <c r="R31" s="499"/>
      <c r="S31" s="499"/>
      <c r="T31" s="623" t="s">
        <v>346</v>
      </c>
      <c r="U31" s="625">
        <f>[0]!m_can</f>
        <v>70</v>
      </c>
    </row>
    <row r="32" spans="2:21" ht="13.8" thickBot="1" x14ac:dyDescent="0.3">
      <c r="B32" s="96"/>
      <c r="C32" s="616"/>
      <c r="D32" s="307"/>
      <c r="E32" s="304"/>
      <c r="F32" s="304"/>
      <c r="G32" s="304"/>
      <c r="H32" s="617"/>
      <c r="I32" s="617"/>
      <c r="J32" s="304"/>
      <c r="K32" s="306"/>
      <c r="L32" s="307"/>
      <c r="M32" s="306"/>
      <c r="N32" s="97"/>
      <c r="O32" s="620" t="s">
        <v>437</v>
      </c>
      <c r="P32" s="622">
        <f>Q_ail</f>
        <v>4</v>
      </c>
      <c r="Q32" s="2"/>
      <c r="R32" s="499"/>
      <c r="S32" s="499"/>
      <c r="T32" s="623" t="s">
        <v>432</v>
      </c>
      <c r="U32" s="625">
        <f>[0]!n_can</f>
        <v>10</v>
      </c>
    </row>
    <row r="33" spans="2:21" ht="13.8" thickBot="1" x14ac:dyDescent="0.3">
      <c r="B33" s="96"/>
      <c r="C33" s="81"/>
      <c r="D33" s="103"/>
      <c r="E33" s="104"/>
      <c r="F33" s="104"/>
      <c r="G33" s="104"/>
      <c r="H33" s="105"/>
      <c r="I33" s="105"/>
      <c r="J33" s="104"/>
      <c r="K33" s="106"/>
      <c r="L33" s="103"/>
      <c r="M33" s="106"/>
      <c r="N33" s="97"/>
      <c r="O33" s="2"/>
      <c r="Q33" s="2"/>
      <c r="R33" s="499"/>
      <c r="S33" s="499"/>
      <c r="T33" s="619" t="s">
        <v>433</v>
      </c>
      <c r="U33" s="625">
        <f>[0]!E_can</f>
        <v>50</v>
      </c>
    </row>
    <row r="34" spans="2:21" ht="13.8" thickBot="1" x14ac:dyDescent="0.3">
      <c r="B34" s="99"/>
      <c r="C34" s="102"/>
      <c r="D34" s="100"/>
      <c r="E34" s="100"/>
      <c r="F34" s="100"/>
      <c r="G34" s="100"/>
      <c r="H34" s="100"/>
      <c r="I34" s="100"/>
      <c r="J34" s="100"/>
      <c r="K34" s="100"/>
      <c r="L34" s="100"/>
      <c r="M34" s="100"/>
      <c r="N34" s="101"/>
      <c r="O34" s="2"/>
      <c r="P34" s="501" t="s">
        <v>433</v>
      </c>
      <c r="Q34" s="511">
        <f>E_ail</f>
        <v>160</v>
      </c>
      <c r="T34" s="627" t="s">
        <v>438</v>
      </c>
      <c r="U34" s="625">
        <f>[0]!ep_can</f>
        <v>2</v>
      </c>
    </row>
    <row r="35" spans="2:21" x14ac:dyDescent="0.25">
      <c r="B35" s="81"/>
      <c r="C35" s="81"/>
      <c r="D35" s="23"/>
      <c r="E35" s="23"/>
      <c r="F35" s="23"/>
      <c r="G35" s="23"/>
      <c r="H35" s="23"/>
      <c r="I35" s="23"/>
      <c r="J35" s="23"/>
      <c r="K35" s="23"/>
      <c r="L35" s="23"/>
      <c r="M35" s="23"/>
      <c r="N35" s="81"/>
      <c r="O35" s="2"/>
      <c r="P35" s="8"/>
      <c r="Q35" s="8"/>
      <c r="R35" s="81"/>
      <c r="S35" s="81"/>
      <c r="T35" s="624" t="s">
        <v>437</v>
      </c>
      <c r="U35" s="626">
        <f>[0]!Q_can</f>
        <v>4</v>
      </c>
    </row>
    <row r="36" spans="2:21" ht="13.8" thickBot="1" x14ac:dyDescent="0.3">
      <c r="T36" s="2"/>
      <c r="U36" s="512"/>
    </row>
    <row r="37" spans="2:21" x14ac:dyDescent="0.25">
      <c r="B37" s="93"/>
      <c r="C37" s="94"/>
      <c r="D37" s="94"/>
      <c r="E37" s="94"/>
      <c r="F37" s="94"/>
      <c r="G37" s="94"/>
      <c r="H37" s="94"/>
      <c r="I37" s="94"/>
      <c r="J37" s="94"/>
      <c r="K37" s="94"/>
      <c r="L37" s="94"/>
      <c r="M37" s="94"/>
      <c r="N37" s="95"/>
      <c r="T37" s="2"/>
    </row>
    <row r="38" spans="2:21" x14ac:dyDescent="0.25">
      <c r="B38" s="96"/>
      <c r="C38" s="81"/>
      <c r="D38" s="2" t="s">
        <v>196</v>
      </c>
      <c r="E38" s="81"/>
      <c r="F38" s="81"/>
      <c r="G38" s="81"/>
      <c r="H38" s="81"/>
      <c r="I38" s="81"/>
      <c r="J38" s="81"/>
      <c r="K38" s="81"/>
      <c r="L38" s="81"/>
      <c r="M38" s="81"/>
      <c r="N38" s="97"/>
    </row>
    <row r="39" spans="2:21" x14ac:dyDescent="0.25">
      <c r="B39" s="96"/>
      <c r="C39" s="81"/>
      <c r="D39" s="2"/>
      <c r="E39" s="81"/>
      <c r="F39" s="81"/>
      <c r="G39" s="81"/>
      <c r="H39" s="81"/>
      <c r="I39" s="81"/>
      <c r="J39" s="81"/>
      <c r="K39" s="81"/>
      <c r="L39" s="81"/>
      <c r="M39" s="81"/>
      <c r="N39" s="97"/>
    </row>
    <row r="40" spans="2:21" x14ac:dyDescent="0.25">
      <c r="B40" s="96"/>
      <c r="C40" s="81"/>
      <c r="D40" s="323" t="s">
        <v>150</v>
      </c>
      <c r="E40" s="290">
        <f>D_ref</f>
        <v>100</v>
      </c>
      <c r="F40" s="313"/>
      <c r="G40" s="313"/>
      <c r="H40" s="309" t="s">
        <v>199</v>
      </c>
      <c r="I40" s="309" t="s">
        <v>200</v>
      </c>
      <c r="J40" s="310" t="s">
        <v>201</v>
      </c>
      <c r="K40" s="81"/>
      <c r="L40" s="81"/>
      <c r="M40" s="81"/>
      <c r="N40" s="97"/>
    </row>
    <row r="41" spans="2:21" x14ac:dyDescent="0.25">
      <c r="B41" s="96"/>
      <c r="C41" s="81"/>
      <c r="D41" s="324" t="s">
        <v>148</v>
      </c>
      <c r="E41" s="8">
        <f>Long_ogive</f>
        <v>250</v>
      </c>
      <c r="F41" s="2"/>
      <c r="G41" s="2" t="s">
        <v>202</v>
      </c>
      <c r="H41" s="8">
        <f>MasseSans</f>
        <v>9</v>
      </c>
      <c r="I41" s="8">
        <f ca="1">MasseVide</f>
        <v>10.638</v>
      </c>
      <c r="J41" s="288">
        <f ca="1">MassePlein</f>
        <v>12.510999999999999</v>
      </c>
      <c r="K41" s="81"/>
      <c r="L41" s="81"/>
      <c r="M41" s="81"/>
      <c r="N41" s="97"/>
    </row>
    <row r="42" spans="2:21" x14ac:dyDescent="0.25">
      <c r="B42" s="96"/>
      <c r="C42" s="81"/>
      <c r="D42" s="324" t="s">
        <v>151</v>
      </c>
      <c r="E42" s="8">
        <f>X_ail-m_ail</f>
        <v>1550</v>
      </c>
      <c r="F42" s="299"/>
      <c r="G42" s="299" t="s">
        <v>219</v>
      </c>
      <c r="H42" s="311">
        <f>XcgSans</f>
        <v>1140</v>
      </c>
      <c r="I42" s="311">
        <f ca="1">XcgVide</f>
        <v>1204.2081218274111</v>
      </c>
      <c r="J42" s="289">
        <f ca="1">XcgPlein</f>
        <v>1257.0239788985693</v>
      </c>
      <c r="K42" s="81"/>
      <c r="L42" s="81"/>
      <c r="M42" s="81"/>
      <c r="N42" s="97"/>
    </row>
    <row r="43" spans="2:21" x14ac:dyDescent="0.25">
      <c r="B43" s="96"/>
      <c r="C43" s="81"/>
      <c r="D43" s="324" t="str">
        <f>IF(Lang="Français","Emplanture 'm'",IF(Lang="English","Root edge  'm'",""))</f>
        <v>Emplanture 'm'</v>
      </c>
      <c r="E43" s="288">
        <f>m_ail</f>
        <v>250</v>
      </c>
      <c r="F43" s="81"/>
      <c r="G43" s="81"/>
      <c r="H43" s="81"/>
      <c r="I43" s="81"/>
      <c r="J43" s="81"/>
      <c r="K43" s="81"/>
      <c r="L43" s="81"/>
      <c r="M43" s="81"/>
      <c r="N43" s="97"/>
    </row>
    <row r="44" spans="2:21" x14ac:dyDescent="0.25">
      <c r="B44" s="96"/>
      <c r="C44" s="81"/>
      <c r="D44" s="324" t="str">
        <f>IF(Lang="Français","Saumon      'n'",IF(Lang="English","Tip edge    'n'",""))</f>
        <v>Saumon      'n'</v>
      </c>
      <c r="E44" s="288">
        <f>n_ail</f>
        <v>120</v>
      </c>
      <c r="F44" s="290" t="s">
        <v>203</v>
      </c>
      <c r="G44" s="290" t="s">
        <v>208</v>
      </c>
      <c r="H44" s="791">
        <f ca="1">Vsortie_de_rampe</f>
        <v>24.697246019645213</v>
      </c>
      <c r="I44" s="792"/>
      <c r="J44" s="81"/>
      <c r="K44" s="81"/>
      <c r="L44" s="81"/>
      <c r="M44" s="81"/>
      <c r="N44" s="97"/>
    </row>
    <row r="45" spans="2:21" x14ac:dyDescent="0.25">
      <c r="B45" s="96"/>
      <c r="C45" s="81"/>
      <c r="D45" s="324" t="str">
        <f>IF(Lang="Français","Flèche        'p'",IF(Lang="English","Offset         'p'",""))</f>
        <v>Flèche        'p'</v>
      </c>
      <c r="E45" s="288">
        <f>p_ail</f>
        <v>200</v>
      </c>
      <c r="F45" s="8" t="s">
        <v>204</v>
      </c>
      <c r="G45" s="8" t="s">
        <v>209</v>
      </c>
      <c r="H45" s="793">
        <f>Finesse</f>
        <v>18</v>
      </c>
      <c r="I45" s="794"/>
      <c r="J45" s="81"/>
      <c r="K45" s="81"/>
      <c r="L45" s="81"/>
      <c r="M45" s="81"/>
      <c r="N45" s="97"/>
    </row>
    <row r="46" spans="2:21" x14ac:dyDescent="0.25">
      <c r="B46" s="96"/>
      <c r="C46" s="81"/>
      <c r="D46" s="324" t="str">
        <f>IF(Lang="Français","Envergure   'E'",IF(Lang="English","Span          'E'",""))</f>
        <v>Envergure   'E'</v>
      </c>
      <c r="E46" s="288">
        <f>E_ail</f>
        <v>160</v>
      </c>
      <c r="F46" s="8" t="s">
        <v>205</v>
      </c>
      <c r="G46" s="8" t="s">
        <v>210</v>
      </c>
      <c r="H46" s="793">
        <f>Cn</f>
        <v>22.203078547045632</v>
      </c>
      <c r="I46" s="794"/>
      <c r="J46" s="81"/>
      <c r="K46" s="81"/>
      <c r="L46" s="81"/>
      <c r="M46" s="81"/>
      <c r="N46" s="97"/>
    </row>
    <row r="47" spans="2:21" x14ac:dyDescent="0.25">
      <c r="B47" s="96"/>
      <c r="C47" s="81"/>
      <c r="D47" s="324" t="s">
        <v>145</v>
      </c>
      <c r="E47" s="288">
        <f>ep_ail</f>
        <v>2</v>
      </c>
      <c r="F47" s="8" t="s">
        <v>206</v>
      </c>
      <c r="G47" s="8" t="s">
        <v>211</v>
      </c>
      <c r="H47" s="291">
        <f ca="1">MS_min</f>
        <v>2.8801592027938705</v>
      </c>
      <c r="I47" s="298">
        <f ca="1">MS_max</f>
        <v>3.4083177735054528</v>
      </c>
      <c r="J47" s="81"/>
      <c r="K47" s="81"/>
      <c r="L47" s="81"/>
      <c r="M47" s="81"/>
      <c r="N47" s="97"/>
    </row>
    <row r="48" spans="2:21" x14ac:dyDescent="0.25">
      <c r="B48" s="96"/>
      <c r="C48" s="81"/>
      <c r="D48" s="324" t="s">
        <v>146</v>
      </c>
      <c r="E48" s="288">
        <f>Q_ail</f>
        <v>4</v>
      </c>
      <c r="F48" s="322" t="s">
        <v>207</v>
      </c>
      <c r="G48" s="322" t="s">
        <v>212</v>
      </c>
      <c r="H48" s="300">
        <f ca="1">MS_Cn_min</f>
        <v>63.948401007628632</v>
      </c>
      <c r="I48" s="312">
        <f ca="1">MS_Cn_max</f>
        <v>75.675147238433254</v>
      </c>
      <c r="J48" s="81"/>
      <c r="K48" s="81"/>
      <c r="L48" s="81"/>
      <c r="M48" s="81"/>
      <c r="N48" s="97"/>
    </row>
    <row r="49" spans="2:14" x14ac:dyDescent="0.25">
      <c r="B49" s="96"/>
      <c r="C49" s="81"/>
      <c r="D49" s="324" t="s">
        <v>149</v>
      </c>
      <c r="E49" s="288">
        <f ca="1">XpropuRef-Long_propu</f>
        <v>1314</v>
      </c>
      <c r="F49" s="81"/>
      <c r="G49" s="81"/>
      <c r="H49" s="81"/>
      <c r="I49" s="81"/>
      <c r="J49" s="81"/>
      <c r="K49" s="81"/>
      <c r="L49" s="81"/>
      <c r="M49" s="81"/>
      <c r="N49" s="97"/>
    </row>
    <row r="50" spans="2:14" x14ac:dyDescent="0.25">
      <c r="B50" s="96"/>
      <c r="C50" s="81"/>
      <c r="D50" s="324" t="s">
        <v>147</v>
      </c>
      <c r="E50" s="320" t="str">
        <f>Forme_ogive</f>
        <v>Ogivale (pointue)</v>
      </c>
      <c r="F50" s="321" t="s">
        <v>184</v>
      </c>
      <c r="G50" s="323" t="s">
        <v>5</v>
      </c>
      <c r="H50" s="290">
        <f>Cx</f>
        <v>0.5</v>
      </c>
      <c r="I50" s="313"/>
      <c r="J50" s="314"/>
      <c r="K50" s="81"/>
      <c r="L50" s="81"/>
      <c r="M50" s="81"/>
      <c r="N50" s="97"/>
    </row>
    <row r="51" spans="2:14" x14ac:dyDescent="0.25">
      <c r="B51" s="96"/>
      <c r="C51" s="81"/>
      <c r="D51" s="324" t="s">
        <v>143</v>
      </c>
      <c r="E51" s="288">
        <f>Long_tot</f>
        <v>1800</v>
      </c>
      <c r="F51" s="81"/>
      <c r="G51" s="324" t="s">
        <v>213</v>
      </c>
      <c r="H51" s="8">
        <f>Sref</f>
        <v>9.1339816339744834E-3</v>
      </c>
      <c r="I51" s="81"/>
      <c r="J51" s="315"/>
      <c r="K51" s="81"/>
      <c r="L51" s="81"/>
      <c r="M51" s="81"/>
      <c r="N51" s="97"/>
    </row>
    <row r="52" spans="2:14" x14ac:dyDescent="0.25">
      <c r="B52" s="96"/>
      <c r="C52" s="81"/>
      <c r="D52" s="324" t="s">
        <v>197</v>
      </c>
      <c r="E52" s="288">
        <f>MAX(D_ref,D_ail,D_og,(RIGHT(Nb_diam,1)=",")*MAX(D1j,D1r,D2j,D2r))</f>
        <v>100</v>
      </c>
      <c r="F52" s="81"/>
      <c r="G52" s="324" t="s">
        <v>214</v>
      </c>
      <c r="H52" s="8">
        <f>Beta_rampe</f>
        <v>80</v>
      </c>
      <c r="I52" s="8">
        <v>80</v>
      </c>
      <c r="J52" s="288">
        <v>90</v>
      </c>
      <c r="K52" s="81"/>
      <c r="L52" s="81"/>
      <c r="M52" s="81"/>
      <c r="N52" s="97"/>
    </row>
    <row r="53" spans="2:14" x14ac:dyDescent="0.25">
      <c r="B53" s="96"/>
      <c r="C53" s="81"/>
      <c r="D53" s="325" t="s">
        <v>198</v>
      </c>
      <c r="E53" s="308">
        <f>E_ail*2+D_ail</f>
        <v>420</v>
      </c>
      <c r="F53" s="81"/>
      <c r="G53" s="327" t="s">
        <v>216</v>
      </c>
      <c r="H53" s="304">
        <f ca="1">Temps_culmi</f>
        <v>22.399999999999988</v>
      </c>
      <c r="I53" s="305"/>
      <c r="J53" s="316"/>
      <c r="K53" s="81"/>
      <c r="L53" s="81"/>
      <c r="M53" s="81"/>
      <c r="N53" s="97"/>
    </row>
    <row r="54" spans="2:14" x14ac:dyDescent="0.25">
      <c r="B54" s="96"/>
      <c r="C54" s="81"/>
      <c r="D54" s="81"/>
      <c r="E54" s="81"/>
      <c r="F54" s="81"/>
      <c r="G54" s="327" t="s">
        <v>217</v>
      </c>
      <c r="H54" s="286">
        <f ca="1">Altitude_culmi</f>
        <v>2493.3072967125281</v>
      </c>
      <c r="I54" s="305"/>
      <c r="J54" s="316"/>
      <c r="K54" s="81"/>
      <c r="L54" s="81"/>
      <c r="M54" s="81"/>
      <c r="N54" s="97"/>
    </row>
    <row r="55" spans="2:14" x14ac:dyDescent="0.25">
      <c r="B55" s="96"/>
      <c r="C55" s="323" t="s">
        <v>234</v>
      </c>
      <c r="D55" s="293" t="s">
        <v>61</v>
      </c>
      <c r="E55" s="287">
        <f>Long_tot</f>
        <v>1800</v>
      </c>
      <c r="F55" s="81"/>
      <c r="G55" s="327" t="s">
        <v>218</v>
      </c>
      <c r="H55" s="306">
        <f ca="1">Vit_culmi</f>
        <v>38.487796957243191</v>
      </c>
      <c r="I55" s="305"/>
      <c r="J55" s="316"/>
      <c r="K55" s="81"/>
      <c r="L55" s="81"/>
      <c r="M55" s="81"/>
      <c r="N55" s="97"/>
    </row>
    <row r="56" spans="2:14" x14ac:dyDescent="0.25">
      <c r="B56" s="96"/>
      <c r="C56" s="324"/>
      <c r="D56" s="2" t="s">
        <v>220</v>
      </c>
      <c r="E56" s="288">
        <f>MAX(D_ref,D_ail,D_og,(RIGHT(Nb_diam,1)=",")*MAX(D1j,D1r,D2j,D2r))</f>
        <v>100</v>
      </c>
      <c r="F56" s="81"/>
      <c r="G56" s="327" t="s">
        <v>134</v>
      </c>
      <c r="H56" s="307">
        <f ca="1">Portee_balistique</f>
        <v>1741.4112148507097</v>
      </c>
      <c r="I56" s="305"/>
      <c r="J56" s="316"/>
      <c r="K56" s="81"/>
      <c r="L56" s="81"/>
      <c r="M56" s="81"/>
      <c r="N56" s="97"/>
    </row>
    <row r="57" spans="2:14" x14ac:dyDescent="0.25">
      <c r="B57" s="96"/>
      <c r="C57" s="324"/>
      <c r="D57" s="2" t="s">
        <v>221</v>
      </c>
      <c r="E57" s="288">
        <f>E_ail*2+D_ail</f>
        <v>420</v>
      </c>
      <c r="F57" s="81"/>
      <c r="G57" s="327" t="s">
        <v>215</v>
      </c>
      <c r="H57" s="307">
        <f ca="1">T_balistique</f>
        <v>47.40000000000034</v>
      </c>
      <c r="I57" s="305"/>
      <c r="J57" s="316"/>
      <c r="K57" s="81"/>
      <c r="L57" s="81"/>
      <c r="M57" s="81"/>
      <c r="N57" s="97"/>
    </row>
    <row r="58" spans="2:14" x14ac:dyDescent="0.25">
      <c r="B58" s="96"/>
      <c r="C58" s="324"/>
      <c r="D58" s="2" t="s">
        <v>222</v>
      </c>
      <c r="E58" s="288">
        <f ca="1">MassePlein</f>
        <v>12.510999999999999</v>
      </c>
      <c r="F58" s="81"/>
      <c r="G58" s="327" t="s">
        <v>138</v>
      </c>
      <c r="H58" s="306">
        <f ca="1">Vit_max</f>
        <v>249.42595514291844</v>
      </c>
      <c r="I58" s="305"/>
      <c r="J58" s="316"/>
      <c r="K58" s="81"/>
      <c r="L58" s="81"/>
      <c r="M58" s="81"/>
      <c r="N58" s="97"/>
    </row>
    <row r="59" spans="2:14" x14ac:dyDescent="0.25">
      <c r="B59" s="96"/>
      <c r="C59" s="325" t="s">
        <v>235</v>
      </c>
      <c r="D59" s="299" t="s">
        <v>146</v>
      </c>
      <c r="E59" s="308">
        <f>Q_ail</f>
        <v>4</v>
      </c>
      <c r="F59" s="81"/>
      <c r="G59" s="327" t="s">
        <v>137</v>
      </c>
      <c r="H59" s="307">
        <f ca="1">Acc_max</f>
        <v>92.916225100527598</v>
      </c>
      <c r="I59" s="305"/>
      <c r="J59" s="316"/>
      <c r="K59" s="81"/>
      <c r="L59" s="81"/>
      <c r="M59" s="81"/>
      <c r="N59" s="97"/>
    </row>
    <row r="60" spans="2:14" x14ac:dyDescent="0.25">
      <c r="B60" s="96"/>
      <c r="C60" s="284"/>
      <c r="D60" s="81"/>
      <c r="E60" s="81"/>
      <c r="F60" s="81"/>
      <c r="G60" s="317" t="s">
        <v>223</v>
      </c>
      <c r="H60" s="318"/>
      <c r="I60" s="318"/>
      <c r="J60" s="319"/>
      <c r="K60" s="81"/>
      <c r="L60" s="81"/>
      <c r="M60" s="81"/>
      <c r="N60" s="97"/>
    </row>
    <row r="61" spans="2:14" x14ac:dyDescent="0.25">
      <c r="B61" s="96"/>
      <c r="C61" s="323"/>
      <c r="D61" s="293"/>
      <c r="E61" s="290" t="s">
        <v>227</v>
      </c>
      <c r="F61" s="287" t="s">
        <v>228</v>
      </c>
      <c r="G61" s="19"/>
      <c r="H61" s="19"/>
      <c r="I61" s="19"/>
      <c r="J61" s="19"/>
      <c r="K61" s="2"/>
      <c r="L61" s="81"/>
      <c r="M61" s="81"/>
      <c r="N61" s="97"/>
    </row>
    <row r="62" spans="2:14" x14ac:dyDescent="0.25">
      <c r="B62" s="96"/>
      <c r="C62" s="324" t="s">
        <v>236</v>
      </c>
      <c r="D62" s="329" t="s">
        <v>226</v>
      </c>
      <c r="E62" s="286">
        <f ca="1">2*Acc_max*MassePlein</f>
        <v>2324.9497844654015</v>
      </c>
      <c r="F62" s="330">
        <f ca="1">E62/9.81</f>
        <v>236.99793929310923</v>
      </c>
      <c r="H62" s="19"/>
      <c r="I62" s="19"/>
      <c r="J62" s="19"/>
      <c r="K62" s="2"/>
      <c r="L62" s="81"/>
      <c r="M62" s="81"/>
      <c r="N62" s="97"/>
    </row>
    <row r="63" spans="2:14" x14ac:dyDescent="0.25">
      <c r="B63" s="96"/>
      <c r="C63" s="324"/>
      <c r="D63" s="2" t="s">
        <v>224</v>
      </c>
      <c r="E63" s="286">
        <f ca="1">2*Acc_max*Masse_ail</f>
        <v>22.002562103804937</v>
      </c>
      <c r="F63" s="292">
        <f ca="1">E63/9.81</f>
        <v>2.2428707547201769</v>
      </c>
      <c r="G63" s="290" t="s">
        <v>230</v>
      </c>
      <c r="H63" s="338">
        <f>S_ail*(ep_ail/1000)*2000</f>
        <v>0.11840000000000001</v>
      </c>
      <c r="I63" s="19"/>
      <c r="J63" s="19"/>
      <c r="K63" s="2"/>
      <c r="L63" s="81"/>
      <c r="M63" s="81"/>
      <c r="N63" s="97"/>
    </row>
    <row r="64" spans="2:14" x14ac:dyDescent="0.25">
      <c r="B64" s="96"/>
      <c r="C64" s="325"/>
      <c r="D64" s="299" t="s">
        <v>225</v>
      </c>
      <c r="E64" s="311">
        <f ca="1">0.104*S_ail*Vit_max^2</f>
        <v>191.51744457342971</v>
      </c>
      <c r="F64" s="331">
        <f ca="1">E64/9.81</f>
        <v>19.522675287811389</v>
      </c>
      <c r="G64" s="322" t="s">
        <v>229</v>
      </c>
      <c r="H64" s="339">
        <f>(E_ail*(m_ail+n_ail)/2)/10^6</f>
        <v>2.9600000000000001E-2</v>
      </c>
      <c r="I64" s="19"/>
      <c r="J64" s="19"/>
      <c r="K64" s="19"/>
      <c r="L64" s="81"/>
      <c r="M64" s="81"/>
      <c r="N64" s="97"/>
    </row>
    <row r="65" spans="2:14" x14ac:dyDescent="0.25">
      <c r="B65" s="96"/>
      <c r="C65" s="332" t="s">
        <v>243</v>
      </c>
      <c r="D65" s="335" t="s">
        <v>241</v>
      </c>
      <c r="E65" s="336">
        <f ca="1">2*Acc_max*H65</f>
        <v>1162.4748922327008</v>
      </c>
      <c r="F65" s="336">
        <f ca="1">E65/9.81</f>
        <v>118.49896964655461</v>
      </c>
      <c r="G65" s="337" t="s">
        <v>242</v>
      </c>
      <c r="H65" s="328">
        <f ca="1">E58/2</f>
        <v>6.2554999999999996</v>
      </c>
      <c r="I65" s="19"/>
      <c r="J65" s="19"/>
      <c r="K65" s="19"/>
      <c r="L65" s="81"/>
      <c r="M65" s="81"/>
      <c r="N65" s="97"/>
    </row>
    <row r="66" spans="2:14" x14ac:dyDescent="0.25">
      <c r="B66" s="96"/>
      <c r="C66" s="326"/>
      <c r="D66" s="19"/>
      <c r="E66" s="19"/>
      <c r="F66" s="19"/>
      <c r="G66" s="19"/>
      <c r="H66" s="19"/>
      <c r="I66" s="19"/>
      <c r="J66" s="19"/>
      <c r="K66" s="19"/>
      <c r="L66" s="81"/>
      <c r="M66" s="81"/>
      <c r="N66" s="97"/>
    </row>
    <row r="67" spans="2:14" x14ac:dyDescent="0.25">
      <c r="B67" s="96"/>
      <c r="F67" s="323" t="s">
        <v>233</v>
      </c>
      <c r="G67" s="293" t="s">
        <v>231</v>
      </c>
      <c r="H67" s="294">
        <f>T_para</f>
        <v>21</v>
      </c>
      <c r="I67" s="295">
        <f ca="1">Temps_culmi</f>
        <v>22.399999999999988</v>
      </c>
      <c r="J67" s="19"/>
      <c r="K67" s="19"/>
      <c r="L67" s="81"/>
      <c r="M67" s="81"/>
      <c r="N67" s="97"/>
    </row>
    <row r="68" spans="2:14" x14ac:dyDescent="0.25">
      <c r="B68" s="96"/>
      <c r="C68" s="326"/>
      <c r="D68" s="19"/>
      <c r="E68" s="19"/>
      <c r="F68" s="323" t="s">
        <v>232</v>
      </c>
      <c r="G68" s="293" t="s">
        <v>130</v>
      </c>
      <c r="H68" s="294">
        <f ca="1">V_para</f>
        <v>7.4014859065283671</v>
      </c>
      <c r="I68" s="295">
        <f>V_satellite</f>
        <v>12.655562623057198</v>
      </c>
      <c r="J68" s="19"/>
      <c r="K68" s="19"/>
      <c r="L68" s="81"/>
      <c r="M68" s="81"/>
      <c r="N68" s="97"/>
    </row>
    <row r="69" spans="2:14" x14ac:dyDescent="0.25">
      <c r="B69" s="96"/>
      <c r="C69" s="326"/>
      <c r="D69" s="19"/>
      <c r="E69" s="19"/>
      <c r="F69" s="324"/>
      <c r="G69" s="2" t="s">
        <v>238</v>
      </c>
      <c r="H69" s="291">
        <f>S_para</f>
        <v>3.1101767270538949</v>
      </c>
      <c r="I69" s="297">
        <f>S_satellite</f>
        <v>0.1</v>
      </c>
      <c r="J69" s="19"/>
      <c r="K69" s="19"/>
      <c r="L69" s="81"/>
      <c r="M69" s="81"/>
      <c r="N69" s="97"/>
    </row>
    <row r="70" spans="2:14" x14ac:dyDescent="0.25">
      <c r="B70" s="96"/>
      <c r="C70" s="285"/>
      <c r="D70" s="2"/>
      <c r="E70" s="81"/>
      <c r="F70" s="324"/>
      <c r="G70" s="2" t="s">
        <v>237</v>
      </c>
      <c r="H70" s="291">
        <f ca="1">V_ouverture</f>
        <v>41.53174982448413</v>
      </c>
      <c r="I70" s="297">
        <f ca="1">V_ouv_sat</f>
        <v>221.73763609892308</v>
      </c>
      <c r="L70" s="81"/>
      <c r="M70" s="81"/>
      <c r="N70" s="97"/>
    </row>
    <row r="71" spans="2:14" x14ac:dyDescent="0.25">
      <c r="B71" s="96"/>
      <c r="C71" s="265"/>
      <c r="E71" s="81"/>
      <c r="F71" s="324"/>
      <c r="G71" s="2" t="s">
        <v>202</v>
      </c>
      <c r="H71" s="291">
        <f ca="1">m_vide</f>
        <v>10.638</v>
      </c>
      <c r="I71" s="297">
        <f>m_satellite</f>
        <v>1</v>
      </c>
      <c r="J71" s="81"/>
      <c r="K71" s="81"/>
      <c r="L71" s="81"/>
      <c r="M71" s="81"/>
      <c r="N71" s="97"/>
    </row>
    <row r="72" spans="2:14" x14ac:dyDescent="0.25">
      <c r="B72" s="96"/>
      <c r="C72" s="265"/>
      <c r="E72" s="81"/>
      <c r="F72" s="324"/>
      <c r="G72" s="2" t="s">
        <v>239</v>
      </c>
      <c r="H72" s="333">
        <f ca="1">1/2*Rho_moyen*S_para*V_ouverture^2</f>
        <v>3285.8793939199741</v>
      </c>
      <c r="I72" s="334">
        <f ca="1">1/2*Rho_moyen*S_satellite*V_ouv_sat^2</f>
        <v>3011.5142298427295</v>
      </c>
      <c r="J72" s="81"/>
      <c r="K72" s="81"/>
      <c r="L72" s="81"/>
      <c r="M72" s="81"/>
      <c r="N72" s="97"/>
    </row>
    <row r="73" spans="2:14" x14ac:dyDescent="0.25">
      <c r="B73" s="96"/>
      <c r="C73" s="81"/>
      <c r="D73" s="2"/>
      <c r="E73" s="81"/>
      <c r="F73" s="325"/>
      <c r="G73" s="299" t="s">
        <v>240</v>
      </c>
      <c r="H73" s="300">
        <f ca="1">H72/9.81</f>
        <v>334.95202792252536</v>
      </c>
      <c r="I73" s="301">
        <f ca="1">I72/9.81</f>
        <v>306.98412128875935</v>
      </c>
      <c r="J73" s="81"/>
      <c r="K73" s="81"/>
      <c r="L73" s="81"/>
      <c r="M73" s="81"/>
      <c r="N73" s="97"/>
    </row>
    <row r="74" spans="2:14" ht="13.8" thickBot="1" x14ac:dyDescent="0.3">
      <c r="B74" s="99"/>
      <c r="C74" s="102"/>
      <c r="D74" s="102"/>
      <c r="E74" s="102"/>
      <c r="F74" s="102"/>
      <c r="G74" s="102"/>
      <c r="H74" s="102"/>
      <c r="I74" s="102"/>
      <c r="J74" s="102"/>
      <c r="K74" s="102"/>
      <c r="L74" s="102"/>
      <c r="M74" s="102"/>
      <c r="N74" s="101"/>
    </row>
    <row r="76" spans="2:14" ht="13.8" thickBot="1" x14ac:dyDescent="0.3"/>
    <row r="77" spans="2:14" x14ac:dyDescent="0.25">
      <c r="B77" s="93"/>
      <c r="C77" s="94"/>
      <c r="D77" s="94"/>
      <c r="E77" s="94"/>
      <c r="F77" s="94"/>
      <c r="G77" s="94"/>
      <c r="H77" s="94"/>
      <c r="I77" s="94"/>
      <c r="J77" s="94"/>
      <c r="K77" s="94"/>
      <c r="L77" s="94"/>
      <c r="M77" s="94"/>
      <c r="N77" s="95"/>
    </row>
    <row r="78" spans="2:14" x14ac:dyDescent="0.25">
      <c r="B78" s="96"/>
      <c r="C78" s="81"/>
      <c r="D78" s="2" t="s">
        <v>335</v>
      </c>
      <c r="E78" s="81"/>
      <c r="F78" s="81"/>
      <c r="G78" s="81"/>
      <c r="H78" s="81"/>
      <c r="I78" s="81"/>
      <c r="J78" s="81"/>
      <c r="K78" s="81"/>
      <c r="L78" s="81"/>
      <c r="M78" s="81"/>
      <c r="N78" s="97"/>
    </row>
    <row r="79" spans="2:14" ht="12.75" customHeight="1" x14ac:dyDescent="0.3">
      <c r="B79" s="96"/>
      <c r="C79" s="81"/>
      <c r="D79" s="81"/>
      <c r="E79" s="499"/>
      <c r="F79" s="500"/>
      <c r="G79" s="504" t="s">
        <v>341</v>
      </c>
      <c r="H79" s="81"/>
      <c r="I79" s="524"/>
      <c r="J79" s="499"/>
      <c r="K79" s="499"/>
      <c r="L79" s="81"/>
      <c r="M79" s="81"/>
      <c r="N79" s="97"/>
    </row>
    <row r="80" spans="2:14" x14ac:dyDescent="0.25">
      <c r="B80" s="96"/>
      <c r="C80" s="323" t="s">
        <v>336</v>
      </c>
      <c r="D80" s="287" t="str">
        <f>Nom</f>
        <v>Indra</v>
      </c>
      <c r="E80" s="499"/>
      <c r="F80" s="500"/>
      <c r="G80" s="499"/>
      <c r="H80" s="499"/>
      <c r="I80" s="499"/>
      <c r="J80" s="499"/>
      <c r="K80" s="499"/>
      <c r="L80" s="81"/>
      <c r="M80" s="81"/>
      <c r="N80" s="97"/>
    </row>
    <row r="81" spans="2:14" ht="13.8" thickBot="1" x14ac:dyDescent="0.3">
      <c r="B81" s="96"/>
      <c r="C81" s="324" t="s">
        <v>4</v>
      </c>
      <c r="D81" s="288" t="str">
        <f>Club</f>
        <v>Space'Tech Orléans</v>
      </c>
      <c r="E81" s="499"/>
      <c r="F81" s="500"/>
      <c r="G81" s="499"/>
      <c r="H81" s="499"/>
      <c r="I81" s="499"/>
      <c r="J81" s="499"/>
      <c r="K81" s="499"/>
      <c r="L81" s="81"/>
      <c r="M81" s="81"/>
      <c r="N81" s="97"/>
    </row>
    <row r="82" spans="2:14" ht="13.8" thickBot="1" x14ac:dyDescent="0.3">
      <c r="B82" s="96"/>
      <c r="C82" s="497" t="s">
        <v>337</v>
      </c>
      <c r="D82" s="288" t="s">
        <v>14</v>
      </c>
      <c r="E82" s="501" t="s">
        <v>342</v>
      </c>
      <c r="F82" s="511">
        <f>Long_ogive</f>
        <v>250</v>
      </c>
      <c r="G82" s="499"/>
      <c r="H82" s="499"/>
      <c r="I82" s="499"/>
      <c r="J82" s="499"/>
      <c r="K82" s="499"/>
      <c r="L82" s="81"/>
      <c r="M82" s="81"/>
      <c r="N82" s="97"/>
    </row>
    <row r="83" spans="2:14" x14ac:dyDescent="0.25">
      <c r="B83" s="96"/>
      <c r="C83" s="325" t="s">
        <v>338</v>
      </c>
      <c r="D83" s="498">
        <f ca="1">TODAY()</f>
        <v>44888</v>
      </c>
      <c r="E83" s="499"/>
      <c r="F83" s="505"/>
      <c r="G83" s="499"/>
      <c r="H83" s="499"/>
      <c r="I83" s="499"/>
      <c r="J83" s="499"/>
      <c r="K83" s="499"/>
      <c r="L83" s="81"/>
      <c r="M83" s="81"/>
      <c r="N83" s="97"/>
    </row>
    <row r="84" spans="2:14" ht="13.8" thickBot="1" x14ac:dyDescent="0.3">
      <c r="B84" s="96"/>
      <c r="C84" s="81"/>
      <c r="D84" s="81"/>
      <c r="E84" s="499"/>
      <c r="F84" s="505"/>
      <c r="G84" s="499"/>
      <c r="H84" s="499"/>
      <c r="I84" s="499"/>
      <c r="J84" s="510" t="str">
        <f>IF(RIGHT(Nb_diam,1)=",", "", X_j)</f>
        <v/>
      </c>
      <c r="K84" s="499"/>
      <c r="L84" s="81"/>
      <c r="M84" s="81"/>
      <c r="N84" s="97"/>
    </row>
    <row r="85" spans="2:14" ht="13.8" thickBot="1" x14ac:dyDescent="0.3">
      <c r="B85" s="96"/>
      <c r="C85" s="323" t="s">
        <v>339</v>
      </c>
      <c r="D85" s="287" t="str">
        <f>Propu</f>
        <v>Orignal (Pro75-3G C)</v>
      </c>
      <c r="E85" s="501" t="s">
        <v>343</v>
      </c>
      <c r="F85" s="511">
        <f>D_og</f>
        <v>100</v>
      </c>
      <c r="G85" s="499"/>
      <c r="H85" s="499"/>
      <c r="I85" s="499"/>
      <c r="J85" s="505"/>
      <c r="K85" s="499"/>
      <c r="L85" s="81"/>
      <c r="M85" s="81"/>
      <c r="N85" s="97"/>
    </row>
    <row r="86" spans="2:14" x14ac:dyDescent="0.25">
      <c r="B86" s="96"/>
      <c r="C86" s="325" t="s">
        <v>340</v>
      </c>
      <c r="D86" s="308" t="s">
        <v>14</v>
      </c>
      <c r="E86" s="499"/>
      <c r="F86" s="505"/>
      <c r="G86" s="499"/>
      <c r="H86" s="499"/>
      <c r="I86" s="499"/>
      <c r="J86" s="510" t="str">
        <f>IF(RIGHT(Nb_diam,1)=",", "", X_r)</f>
        <v/>
      </c>
      <c r="K86" s="499"/>
      <c r="L86" s="81"/>
      <c r="M86" s="81"/>
      <c r="N86" s="97"/>
    </row>
    <row r="87" spans="2:14" x14ac:dyDescent="0.25">
      <c r="B87" s="96"/>
      <c r="C87" s="81"/>
      <c r="D87" s="81"/>
      <c r="E87" s="499"/>
      <c r="F87" s="505"/>
      <c r="G87" s="499"/>
      <c r="H87" s="499"/>
      <c r="I87" s="499"/>
      <c r="J87" s="505"/>
      <c r="K87" s="499"/>
      <c r="L87" s="81"/>
      <c r="M87" s="81"/>
      <c r="N87" s="97"/>
    </row>
    <row r="88" spans="2:14" x14ac:dyDescent="0.25">
      <c r="B88" s="96"/>
      <c r="C88" s="81"/>
      <c r="D88" s="81"/>
      <c r="E88" s="499"/>
      <c r="F88" s="505"/>
      <c r="G88" s="499"/>
      <c r="H88" s="499"/>
      <c r="I88" s="499"/>
      <c r="J88" s="510" t="str">
        <f>IF(RIGHT(Nb_diam,1)=",", "", l_j)</f>
        <v/>
      </c>
      <c r="K88" s="499"/>
      <c r="L88" s="81"/>
      <c r="M88" s="81"/>
      <c r="N88" s="97"/>
    </row>
    <row r="89" spans="2:14" ht="13.8" thickBot="1" x14ac:dyDescent="0.3">
      <c r="B89" s="96"/>
      <c r="C89" s="81"/>
      <c r="D89" s="81"/>
      <c r="E89" s="499"/>
      <c r="F89" s="505"/>
      <c r="G89" s="499"/>
      <c r="H89" s="499"/>
      <c r="I89" s="499"/>
      <c r="J89" s="505"/>
      <c r="K89" s="499"/>
      <c r="L89" s="81"/>
      <c r="M89" s="81"/>
      <c r="N89" s="97"/>
    </row>
    <row r="90" spans="2:14" ht="13.8" thickBot="1" x14ac:dyDescent="0.3">
      <c r="B90" s="96"/>
      <c r="C90" s="81"/>
      <c r="D90" s="81"/>
      <c r="E90" s="502" t="s">
        <v>344</v>
      </c>
      <c r="F90" s="510" t="str">
        <f>IF(RIGHT(Nb_diam,1)=",", "", D2j)</f>
        <v/>
      </c>
      <c r="G90" s="499"/>
      <c r="H90" s="499"/>
      <c r="I90" s="499"/>
      <c r="J90" s="511">
        <f>X_ail-m_ail</f>
        <v>1550</v>
      </c>
      <c r="K90" s="503"/>
      <c r="L90" s="81"/>
      <c r="M90" s="81"/>
      <c r="N90" s="97"/>
    </row>
    <row r="91" spans="2:14" x14ac:dyDescent="0.25">
      <c r="B91" s="96"/>
      <c r="C91" s="81"/>
      <c r="D91" s="81"/>
      <c r="E91" s="499"/>
      <c r="F91" s="505"/>
      <c r="G91" s="499"/>
      <c r="H91" s="499"/>
      <c r="I91" s="499"/>
      <c r="J91" s="505"/>
      <c r="K91" s="499"/>
      <c r="L91" s="81"/>
      <c r="M91" s="81"/>
      <c r="N91" s="97"/>
    </row>
    <row r="92" spans="2:14" x14ac:dyDescent="0.25">
      <c r="B92" s="96"/>
      <c r="C92" s="81"/>
      <c r="D92" s="81"/>
      <c r="E92" s="499"/>
      <c r="F92" s="505"/>
      <c r="G92" s="499"/>
      <c r="H92" s="499"/>
      <c r="I92" s="499"/>
      <c r="J92" s="510" t="str">
        <f>IF(RIGHT(Nb_diam,1)=",", "", l_r)</f>
        <v/>
      </c>
      <c r="K92" s="499"/>
      <c r="L92" s="81"/>
      <c r="M92" s="81"/>
      <c r="N92" s="97"/>
    </row>
    <row r="93" spans="2:14" x14ac:dyDescent="0.25">
      <c r="B93" s="96"/>
      <c r="C93" s="81"/>
      <c r="D93" s="81"/>
      <c r="E93" s="499"/>
      <c r="F93" s="505"/>
      <c r="G93" s="499"/>
      <c r="H93" s="499"/>
      <c r="I93" s="499"/>
      <c r="J93" s="505"/>
      <c r="K93" s="499"/>
      <c r="L93" s="81"/>
      <c r="M93" s="81"/>
      <c r="N93" s="97"/>
    </row>
    <row r="94" spans="2:14" x14ac:dyDescent="0.25">
      <c r="B94" s="96"/>
      <c r="C94" s="81"/>
      <c r="D94" s="81"/>
      <c r="E94" s="502" t="s">
        <v>345</v>
      </c>
      <c r="F94" s="510" t="str">
        <f>IF(RIGHT(Nb_diam,1)=",", "", D2r)</f>
        <v/>
      </c>
      <c r="G94" s="499"/>
      <c r="H94" s="499"/>
      <c r="I94" s="499"/>
      <c r="J94" s="505"/>
      <c r="K94" s="499"/>
      <c r="L94" s="81"/>
      <c r="M94" s="81"/>
      <c r="N94" s="97"/>
    </row>
    <row r="95" spans="2:14" x14ac:dyDescent="0.25">
      <c r="B95" s="96"/>
      <c r="C95" s="81"/>
      <c r="D95" s="81"/>
      <c r="E95" s="499"/>
      <c r="F95" s="505"/>
      <c r="G95" s="499"/>
      <c r="H95" s="499"/>
      <c r="I95" s="499"/>
      <c r="J95" s="505"/>
      <c r="K95" s="499"/>
      <c r="L95" s="81"/>
      <c r="M95" s="81"/>
      <c r="N95" s="97"/>
    </row>
    <row r="96" spans="2:14" ht="13.8" thickBot="1" x14ac:dyDescent="0.3">
      <c r="B96" s="96"/>
      <c r="C96" s="81"/>
      <c r="D96" s="81"/>
      <c r="E96" s="499"/>
      <c r="F96" s="505"/>
      <c r="G96" s="499"/>
      <c r="H96" s="499"/>
      <c r="I96" s="499"/>
      <c r="J96" s="505"/>
      <c r="K96" s="499"/>
      <c r="L96" s="81"/>
      <c r="M96" s="81"/>
      <c r="N96" s="97"/>
    </row>
    <row r="97" spans="2:14" ht="13.8" thickBot="1" x14ac:dyDescent="0.3">
      <c r="B97" s="96"/>
      <c r="C97" s="81"/>
      <c r="D97" s="81"/>
      <c r="E97" s="501" t="s">
        <v>346</v>
      </c>
      <c r="F97" s="511">
        <f>m_ail</f>
        <v>250</v>
      </c>
      <c r="G97" s="499"/>
      <c r="H97" s="499"/>
      <c r="I97" s="499"/>
      <c r="J97" s="511">
        <f>p_ail</f>
        <v>200</v>
      </c>
      <c r="K97" s="503"/>
      <c r="L97" s="81"/>
      <c r="M97" s="81"/>
      <c r="N97" s="97"/>
    </row>
    <row r="98" spans="2:14" x14ac:dyDescent="0.25">
      <c r="B98" s="96"/>
      <c r="C98" s="81"/>
      <c r="D98" s="81"/>
      <c r="E98" s="499"/>
      <c r="F98" s="500"/>
      <c r="G98" s="499"/>
      <c r="H98" s="499"/>
      <c r="I98" s="499"/>
      <c r="J98" s="505"/>
      <c r="K98" s="499"/>
      <c r="L98" s="81"/>
      <c r="M98" s="81"/>
      <c r="N98" s="97"/>
    </row>
    <row r="99" spans="2:14" x14ac:dyDescent="0.25">
      <c r="B99" s="96"/>
      <c r="C99" s="81"/>
      <c r="D99" s="81"/>
      <c r="E99" s="499"/>
      <c r="F99" s="500"/>
      <c r="G99" s="499"/>
      <c r="H99" s="499"/>
      <c r="I99" s="499"/>
      <c r="J99" s="505"/>
      <c r="K99" s="499"/>
      <c r="L99" s="81"/>
      <c r="M99" s="81"/>
      <c r="N99" s="97"/>
    </row>
    <row r="100" spans="2:14" ht="13.8" thickBot="1" x14ac:dyDescent="0.3">
      <c r="B100" s="96"/>
      <c r="C100" s="81"/>
      <c r="D100" s="494" t="s">
        <v>348</v>
      </c>
      <c r="E100" s="290">
        <f>Q_ail</f>
        <v>4</v>
      </c>
      <c r="F100" s="495"/>
      <c r="G100" s="499"/>
      <c r="H100" s="499"/>
      <c r="I100" s="499"/>
      <c r="J100" s="505"/>
      <c r="K100" s="499"/>
      <c r="L100" s="81"/>
      <c r="M100" s="81"/>
      <c r="N100" s="97"/>
    </row>
    <row r="101" spans="2:14" ht="13.8" thickBot="1" x14ac:dyDescent="0.3">
      <c r="B101" s="96"/>
      <c r="C101" s="81"/>
      <c r="D101" s="506" t="s">
        <v>352</v>
      </c>
      <c r="E101" s="8">
        <f ca="1">XpropuRef-Long_propu</f>
        <v>1314</v>
      </c>
      <c r="F101" s="296"/>
      <c r="G101" s="499"/>
      <c r="H101" s="499"/>
      <c r="I101" s="499"/>
      <c r="J101" s="511">
        <f>n_ail</f>
        <v>120</v>
      </c>
      <c r="K101" s="503"/>
      <c r="L101" s="81"/>
      <c r="M101" s="81"/>
      <c r="N101" s="97"/>
    </row>
    <row r="102" spans="2:14" x14ac:dyDescent="0.25">
      <c r="B102" s="96"/>
      <c r="C102" s="81"/>
      <c r="D102" s="506" t="s">
        <v>349</v>
      </c>
      <c r="E102" s="8">
        <f>IF(LEFT(Forme_ogive,4)="Ogiv",1,0)</f>
        <v>1</v>
      </c>
      <c r="F102" s="296" t="s">
        <v>350</v>
      </c>
      <c r="G102" s="499"/>
      <c r="H102" s="499"/>
      <c r="I102" s="499"/>
      <c r="J102" s="505"/>
      <c r="K102" s="499"/>
      <c r="L102" s="81"/>
      <c r="M102" s="81"/>
      <c r="N102" s="97"/>
    </row>
    <row r="103" spans="2:14" x14ac:dyDescent="0.25">
      <c r="B103" s="96"/>
      <c r="C103" s="81"/>
      <c r="D103" s="506"/>
      <c r="E103" s="8">
        <f>IF(LEFT(Forme_ogive,3)="Con",1,0)</f>
        <v>0</v>
      </c>
      <c r="F103" s="296" t="s">
        <v>160</v>
      </c>
      <c r="G103" s="499"/>
      <c r="H103" s="499"/>
      <c r="I103" s="499"/>
      <c r="J103" s="505"/>
      <c r="K103" s="499"/>
      <c r="L103" s="81"/>
      <c r="M103" s="81"/>
      <c r="N103" s="97"/>
    </row>
    <row r="104" spans="2:14" ht="13.8" thickBot="1" x14ac:dyDescent="0.3">
      <c r="B104" s="96"/>
      <c r="C104" s="81"/>
      <c r="D104" s="496"/>
      <c r="E104" s="322">
        <f>IF(LEFT(Forme_ogive,5)="Parab",1,0)</f>
        <v>0</v>
      </c>
      <c r="F104" s="339" t="s">
        <v>351</v>
      </c>
      <c r="G104" s="499"/>
      <c r="H104" s="499"/>
      <c r="I104" s="499"/>
      <c r="J104" s="512" t="s">
        <v>347</v>
      </c>
      <c r="K104" s="499"/>
      <c r="L104" s="81"/>
      <c r="M104" s="81"/>
      <c r="N104" s="97"/>
    </row>
    <row r="105" spans="2:14" ht="13.8" thickBot="1" x14ac:dyDescent="0.3">
      <c r="B105" s="96"/>
      <c r="C105" s="81"/>
      <c r="D105" s="2"/>
      <c r="E105" s="2"/>
      <c r="F105" s="2"/>
      <c r="G105" s="501"/>
      <c r="H105" s="511">
        <f>E_ail</f>
        <v>160</v>
      </c>
      <c r="I105" s="501"/>
      <c r="J105" s="511">
        <f>ep_ail</f>
        <v>2</v>
      </c>
      <c r="K105" s="499"/>
      <c r="L105" s="81"/>
      <c r="M105" s="81"/>
      <c r="N105" s="97"/>
    </row>
    <row r="106" spans="2:14" x14ac:dyDescent="0.25">
      <c r="B106" s="96"/>
      <c r="C106" s="81"/>
      <c r="D106" s="494"/>
      <c r="E106" s="290" t="s">
        <v>356</v>
      </c>
      <c r="F106" s="287" t="s">
        <v>355</v>
      </c>
      <c r="G106" s="81"/>
      <c r="H106" s="81"/>
      <c r="I106" s="81"/>
      <c r="J106" s="81"/>
      <c r="K106" s="81"/>
      <c r="L106" s="81"/>
      <c r="M106" s="81"/>
      <c r="N106" s="97"/>
    </row>
    <row r="107" spans="2:14" x14ac:dyDescent="0.25">
      <c r="B107" s="96"/>
      <c r="C107" s="81"/>
      <c r="D107" s="506" t="s">
        <v>353</v>
      </c>
      <c r="E107" s="8">
        <f>MasseSans</f>
        <v>9</v>
      </c>
      <c r="F107" s="288">
        <f ca="1">MassePlein</f>
        <v>12.510999999999999</v>
      </c>
      <c r="G107" s="81"/>
      <c r="H107" s="81"/>
      <c r="I107" s="81"/>
      <c r="J107" s="81"/>
      <c r="K107" s="81"/>
      <c r="L107" s="81"/>
      <c r="M107" s="81"/>
      <c r="N107" s="97"/>
    </row>
    <row r="108" spans="2:14" x14ac:dyDescent="0.25">
      <c r="B108" s="96"/>
      <c r="C108" s="81"/>
      <c r="D108" s="496" t="s">
        <v>354</v>
      </c>
      <c r="E108" s="322">
        <f>XcgSans</f>
        <v>1140</v>
      </c>
      <c r="F108" s="308">
        <f ca="1">XcgPlein</f>
        <v>1257.0239788985693</v>
      </c>
      <c r="G108" s="81"/>
      <c r="H108" s="81"/>
      <c r="I108" s="81"/>
      <c r="J108" s="81"/>
      <c r="K108" s="81"/>
      <c r="L108" s="81"/>
      <c r="M108" s="81"/>
      <c r="N108" s="97"/>
    </row>
    <row r="109" spans="2:14" x14ac:dyDescent="0.25">
      <c r="B109" s="96"/>
      <c r="C109" s="81"/>
      <c r="D109" s="81"/>
      <c r="E109" s="81"/>
      <c r="F109" s="81"/>
      <c r="G109" s="81"/>
      <c r="H109" s="81"/>
      <c r="I109" s="81"/>
      <c r="J109" s="81"/>
      <c r="K109" s="81"/>
      <c r="L109" s="81"/>
      <c r="M109" s="81"/>
      <c r="N109" s="97"/>
    </row>
    <row r="110" spans="2:14" x14ac:dyDescent="0.25">
      <c r="B110" s="96"/>
      <c r="C110" s="81"/>
      <c r="D110" s="507" t="s">
        <v>357</v>
      </c>
      <c r="E110" s="508">
        <f ca="1">MasseVide</f>
        <v>10.638</v>
      </c>
      <c r="F110" s="81"/>
      <c r="G110" s="494" t="s">
        <v>358</v>
      </c>
      <c r="H110" s="313"/>
      <c r="I110" s="313"/>
      <c r="J110" s="314"/>
      <c r="K110" s="81"/>
      <c r="L110" s="81"/>
      <c r="M110" s="81"/>
      <c r="N110" s="97"/>
    </row>
    <row r="111" spans="2:14" x14ac:dyDescent="0.25">
      <c r="B111" s="96"/>
      <c r="C111" s="81"/>
      <c r="D111" s="81"/>
      <c r="E111" s="81"/>
      <c r="F111" s="81"/>
      <c r="G111" s="324" t="s">
        <v>214</v>
      </c>
      <c r="H111" s="8">
        <f>Beta_rampe</f>
        <v>80</v>
      </c>
      <c r="I111" s="8">
        <v>80</v>
      </c>
      <c r="J111" s="288">
        <v>90</v>
      </c>
      <c r="K111" s="81"/>
      <c r="L111" s="81"/>
      <c r="M111" s="81"/>
      <c r="N111" s="97"/>
    </row>
    <row r="112" spans="2:14" x14ac:dyDescent="0.25">
      <c r="B112" s="96"/>
      <c r="C112" s="81"/>
      <c r="D112" s="81"/>
      <c r="E112" s="81"/>
      <c r="F112" s="81"/>
      <c r="G112" s="327" t="s">
        <v>216</v>
      </c>
      <c r="H112" s="304">
        <f ca="1">Temps_culmi</f>
        <v>22.399999999999988</v>
      </c>
      <c r="I112" s="305"/>
      <c r="J112" s="316"/>
      <c r="K112" s="81"/>
      <c r="L112" s="81"/>
      <c r="M112" s="81"/>
      <c r="N112" s="97"/>
    </row>
    <row r="113" spans="2:14" ht="12.75" customHeight="1" x14ac:dyDescent="0.3">
      <c r="B113" s="96"/>
      <c r="C113" s="81"/>
      <c r="D113" s="504" t="s">
        <v>359</v>
      </c>
      <c r="E113" s="499"/>
      <c r="F113" s="81"/>
      <c r="G113" s="327" t="s">
        <v>217</v>
      </c>
      <c r="H113" s="286">
        <f ca="1">Altitude_culmi</f>
        <v>2493.3072967125281</v>
      </c>
      <c r="I113" s="305"/>
      <c r="J113" s="316"/>
      <c r="K113" s="81"/>
      <c r="L113" s="81"/>
      <c r="M113" s="81"/>
      <c r="N113" s="97"/>
    </row>
    <row r="114" spans="2:14" ht="12.75" customHeight="1" x14ac:dyDescent="0.3">
      <c r="B114" s="96"/>
      <c r="C114" s="81"/>
      <c r="D114" s="499"/>
      <c r="E114" s="499"/>
      <c r="F114" s="504"/>
      <c r="G114" s="327" t="s">
        <v>218</v>
      </c>
      <c r="H114" s="306">
        <f ca="1">Vit_culmi</f>
        <v>38.487796957243191</v>
      </c>
      <c r="I114" s="305"/>
      <c r="J114" s="316"/>
      <c r="K114" s="81"/>
      <c r="L114" s="81"/>
      <c r="M114" s="81"/>
      <c r="N114" s="97"/>
    </row>
    <row r="115" spans="2:14" x14ac:dyDescent="0.25">
      <c r="B115" s="96"/>
      <c r="C115" s="518" t="s">
        <v>360</v>
      </c>
      <c r="D115" s="519"/>
      <c r="E115" s="520">
        <v>0.1</v>
      </c>
      <c r="F115" s="81"/>
      <c r="G115" s="327" t="s">
        <v>134</v>
      </c>
      <c r="H115" s="307">
        <f ca="1">Portee_balistique</f>
        <v>1741.4112148507097</v>
      </c>
      <c r="I115" s="305"/>
      <c r="J115" s="316"/>
      <c r="K115" s="81"/>
      <c r="L115" s="81"/>
      <c r="M115" s="81"/>
      <c r="N115" s="97"/>
    </row>
    <row r="116" spans="2:14" ht="12.75" customHeight="1" x14ac:dyDescent="0.25">
      <c r="B116" s="96"/>
      <c r="C116" s="521" t="s">
        <v>361</v>
      </c>
      <c r="D116" s="522"/>
      <c r="E116" s="523">
        <f>E_ail*(m_ail+n_ail)/2</f>
        <v>29600</v>
      </c>
      <c r="F116" s="81"/>
      <c r="G116" s="327" t="s">
        <v>138</v>
      </c>
      <c r="H116" s="306">
        <f ca="1">Vit_max</f>
        <v>249.42595514291844</v>
      </c>
      <c r="I116" s="305"/>
      <c r="J116" s="316"/>
      <c r="K116" s="81"/>
      <c r="L116" s="81"/>
      <c r="M116" s="81"/>
      <c r="N116" s="97"/>
    </row>
    <row r="117" spans="2:14" ht="12.75" customHeight="1" x14ac:dyDescent="0.25">
      <c r="B117" s="96"/>
      <c r="C117" s="81"/>
      <c r="D117" s="499"/>
      <c r="E117" s="499"/>
      <c r="F117" s="499"/>
      <c r="G117" s="327" t="s">
        <v>137</v>
      </c>
      <c r="H117" s="307">
        <f ca="1">Acc_max</f>
        <v>92.916225100527598</v>
      </c>
      <c r="I117" s="305"/>
      <c r="J117" s="316"/>
      <c r="K117" s="81"/>
      <c r="L117" s="81"/>
      <c r="M117" s="81"/>
      <c r="N117" s="97"/>
    </row>
    <row r="118" spans="2:14" x14ac:dyDescent="0.25">
      <c r="B118" s="96"/>
      <c r="C118" s="525" t="s">
        <v>362</v>
      </c>
      <c r="D118" s="526"/>
      <c r="E118" s="539"/>
      <c r="F118" s="540">
        <f>J90/100</f>
        <v>15.5</v>
      </c>
      <c r="G118" s="324" t="s">
        <v>5</v>
      </c>
      <c r="H118" s="8">
        <f>Cx</f>
        <v>0.5</v>
      </c>
      <c r="I118" s="305"/>
      <c r="J118" s="316"/>
      <c r="K118" s="81"/>
      <c r="L118" s="81"/>
      <c r="M118" s="81"/>
      <c r="N118" s="97"/>
    </row>
    <row r="119" spans="2:14" x14ac:dyDescent="0.25">
      <c r="B119" s="96"/>
      <c r="C119" s="527" t="s">
        <v>363</v>
      </c>
      <c r="D119" s="528"/>
      <c r="E119" s="541">
        <f ca="1">2*Acc_max*MasseSans</f>
        <v>1672.4920518094968</v>
      </c>
      <c r="F119" s="542">
        <f ca="1">E119/g</f>
        <v>170.48848642298643</v>
      </c>
      <c r="G119" s="317" t="s">
        <v>223</v>
      </c>
      <c r="H119" s="318"/>
      <c r="I119" s="318"/>
      <c r="J119" s="319"/>
      <c r="K119" s="81"/>
      <c r="L119" s="81"/>
      <c r="M119" s="81"/>
      <c r="N119" s="97"/>
    </row>
    <row r="120" spans="2:14" x14ac:dyDescent="0.25">
      <c r="B120" s="96"/>
      <c r="C120" s="527" t="s">
        <v>364</v>
      </c>
      <c r="D120" s="528"/>
      <c r="E120" s="541">
        <f ca="1">2*Acc_max*E115</f>
        <v>18.583245020105519</v>
      </c>
      <c r="F120" s="542">
        <f ca="1">E120/g</f>
        <v>1.8943165158109601</v>
      </c>
      <c r="G120" s="81"/>
      <c r="H120" s="81"/>
      <c r="I120" s="81"/>
      <c r="J120" s="81"/>
      <c r="K120" s="81"/>
      <c r="L120" s="81"/>
      <c r="M120" s="81"/>
      <c r="N120" s="97"/>
    </row>
    <row r="121" spans="2:14" x14ac:dyDescent="0.25">
      <c r="B121" s="96"/>
      <c r="C121" s="529" t="s">
        <v>365</v>
      </c>
      <c r="D121" s="530"/>
      <c r="E121" s="534">
        <f ca="1">0.104*E116/1000000*Vit_max^2</f>
        <v>191.51744457342971</v>
      </c>
      <c r="F121" s="535">
        <f ca="1">E121/g</f>
        <v>19.522675287811389</v>
      </c>
      <c r="G121" s="499"/>
      <c r="H121" s="499"/>
      <c r="I121" s="499"/>
      <c r="J121" s="499"/>
      <c r="K121" s="81"/>
      <c r="L121" s="81"/>
      <c r="M121" s="81"/>
      <c r="N121" s="97"/>
    </row>
    <row r="122" spans="2:14" ht="12.75" customHeight="1" x14ac:dyDescent="0.25">
      <c r="B122" s="96"/>
      <c r="C122" s="81"/>
      <c r="D122" s="81"/>
      <c r="E122" s="81"/>
      <c r="F122" s="81"/>
      <c r="G122" s="81"/>
      <c r="H122" s="499"/>
      <c r="I122" s="499"/>
      <c r="J122" s="499"/>
      <c r="K122" s="81"/>
      <c r="L122" s="81"/>
      <c r="M122" s="81"/>
      <c r="N122" s="97"/>
    </row>
    <row r="123" spans="2:14" ht="12.75" customHeight="1" x14ac:dyDescent="0.3">
      <c r="B123" s="96"/>
      <c r="C123" s="81"/>
      <c r="D123" s="81"/>
      <c r="E123" s="81"/>
      <c r="F123" s="81"/>
      <c r="G123" s="504"/>
      <c r="H123" s="504"/>
      <c r="I123" s="504"/>
      <c r="J123" s="499"/>
      <c r="K123" s="81"/>
      <c r="L123" s="81"/>
      <c r="M123" s="81"/>
      <c r="N123" s="97"/>
    </row>
    <row r="124" spans="2:14" ht="12.75" customHeight="1" x14ac:dyDescent="0.3">
      <c r="B124" s="96"/>
      <c r="C124" s="500"/>
      <c r="D124" s="504" t="s">
        <v>366</v>
      </c>
      <c r="E124" s="524"/>
      <c r="F124" s="81"/>
      <c r="G124" s="81"/>
      <c r="H124" s="81"/>
      <c r="I124" s="81"/>
      <c r="J124" s="499"/>
      <c r="K124" s="499"/>
      <c r="L124" s="81"/>
      <c r="M124" s="81"/>
      <c r="N124" s="97"/>
    </row>
    <row r="125" spans="2:14" x14ac:dyDescent="0.25">
      <c r="B125" s="96"/>
      <c r="C125" s="517" t="s">
        <v>367</v>
      </c>
      <c r="D125" s="509"/>
      <c r="E125" s="509"/>
      <c r="F125" s="509"/>
      <c r="G125" s="509"/>
      <c r="H125" s="81"/>
      <c r="I125" s="81"/>
      <c r="J125" s="499"/>
      <c r="K125" s="499"/>
      <c r="L125" s="81"/>
      <c r="M125" s="81"/>
      <c r="N125" s="97"/>
    </row>
    <row r="126" spans="2:14" x14ac:dyDescent="0.25">
      <c r="B126" s="96"/>
      <c r="C126" s="525" t="s">
        <v>368</v>
      </c>
      <c r="D126" s="526"/>
      <c r="E126" s="531">
        <v>4</v>
      </c>
      <c r="F126" s="509"/>
      <c r="G126" s="499"/>
      <c r="H126" s="81"/>
      <c r="I126" s="81"/>
      <c r="J126" s="499"/>
      <c r="K126" s="81"/>
      <c r="L126" s="81"/>
      <c r="M126" s="81"/>
      <c r="N126" s="97"/>
    </row>
    <row r="127" spans="2:14" x14ac:dyDescent="0.25">
      <c r="B127" s="96"/>
      <c r="C127" s="529" t="s">
        <v>369</v>
      </c>
      <c r="D127" s="530"/>
      <c r="E127" s="538">
        <f>S_para</f>
        <v>3.1101767270538949</v>
      </c>
      <c r="F127" s="509"/>
      <c r="G127" s="499"/>
      <c r="H127" s="81"/>
      <c r="I127" s="81"/>
      <c r="J127" s="499"/>
      <c r="K127" s="81"/>
      <c r="L127" s="81"/>
      <c r="M127" s="81"/>
      <c r="N127" s="97"/>
    </row>
    <row r="128" spans="2:14" x14ac:dyDescent="0.25">
      <c r="B128" s="96"/>
      <c r="C128" s="787" t="s">
        <v>370</v>
      </c>
      <c r="D128" s="788"/>
      <c r="E128" s="532">
        <f ca="1">0.5*Rho_moyen*S_para*Vit_culmi^2</f>
        <v>2821.8717114719716</v>
      </c>
      <c r="F128" s="533">
        <f ca="1">E128/g</f>
        <v>287.6525699767555</v>
      </c>
      <c r="G128" s="509"/>
      <c r="H128" s="499"/>
      <c r="I128" s="499"/>
      <c r="J128" s="499"/>
      <c r="K128" s="499"/>
      <c r="L128" s="81"/>
      <c r="M128" s="81"/>
      <c r="N128" s="97"/>
    </row>
    <row r="129" spans="2:14" x14ac:dyDescent="0.25">
      <c r="B129" s="96"/>
      <c r="C129" s="789" t="s">
        <v>371</v>
      </c>
      <c r="D129" s="790"/>
      <c r="E129" s="534">
        <f ca="1">E128/E126*2</f>
        <v>1410.9358557359858</v>
      </c>
      <c r="F129" s="535">
        <f ca="1">E129/g</f>
        <v>143.82628498837775</v>
      </c>
      <c r="G129" s="509"/>
      <c r="H129" s="499"/>
      <c r="I129" s="499"/>
      <c r="J129" s="499"/>
      <c r="K129" s="499"/>
      <c r="L129" s="81"/>
      <c r="M129" s="81"/>
      <c r="N129" s="97"/>
    </row>
    <row r="130" spans="2:14" x14ac:dyDescent="0.25">
      <c r="B130" s="96"/>
      <c r="C130" s="514"/>
      <c r="D130" s="514"/>
      <c r="E130" s="515"/>
      <c r="F130" s="516"/>
      <c r="G130" s="509"/>
      <c r="H130" s="499"/>
      <c r="I130" s="499"/>
      <c r="J130" s="499"/>
      <c r="K130" s="499"/>
      <c r="L130" s="81"/>
      <c r="M130" s="81"/>
      <c r="N130" s="97"/>
    </row>
    <row r="131" spans="2:14" x14ac:dyDescent="0.25">
      <c r="B131" s="96"/>
      <c r="C131" s="517" t="s">
        <v>372</v>
      </c>
      <c r="D131" s="499"/>
      <c r="E131" s="499"/>
      <c r="F131" s="499"/>
      <c r="G131" s="499"/>
      <c r="H131" s="499"/>
      <c r="I131" s="499"/>
      <c r="J131" s="499"/>
      <c r="K131" s="499"/>
      <c r="L131" s="81"/>
      <c r="M131" s="81"/>
      <c r="N131" s="97"/>
    </row>
    <row r="132" spans="2:14" x14ac:dyDescent="0.25">
      <c r="B132" s="96"/>
      <c r="C132" s="787" t="s">
        <v>373</v>
      </c>
      <c r="D132" s="788"/>
      <c r="E132" s="536">
        <v>1</v>
      </c>
      <c r="F132" s="499"/>
      <c r="G132" s="499"/>
      <c r="H132" s="499"/>
      <c r="I132" s="499"/>
      <c r="J132" s="513"/>
      <c r="K132" s="499"/>
      <c r="L132" s="81"/>
      <c r="M132" s="81"/>
      <c r="N132" s="97"/>
    </row>
    <row r="133" spans="2:14" x14ac:dyDescent="0.25">
      <c r="B133" s="96"/>
      <c r="C133" s="785" t="s">
        <v>374</v>
      </c>
      <c r="D133" s="786"/>
      <c r="E133" s="537">
        <f ca="1">2*E132*Acc_max/g</f>
        <v>18.943165158109601</v>
      </c>
      <c r="F133" s="500"/>
      <c r="G133" s="500"/>
      <c r="H133" s="500"/>
      <c r="I133" s="500"/>
      <c r="J133" s="499"/>
      <c r="K133" s="499"/>
      <c r="L133" s="81"/>
      <c r="M133" s="81"/>
      <c r="N133" s="97"/>
    </row>
    <row r="134" spans="2:14" ht="13.8" thickBot="1" x14ac:dyDescent="0.3">
      <c r="B134" s="99"/>
      <c r="C134" s="543"/>
      <c r="D134" s="543"/>
      <c r="E134" s="543"/>
      <c r="F134" s="543"/>
      <c r="G134" s="543"/>
      <c r="H134" s="543"/>
      <c r="I134" s="543"/>
      <c r="J134" s="544"/>
      <c r="K134" s="544"/>
      <c r="L134" s="102"/>
      <c r="M134" s="102"/>
      <c r="N134" s="101"/>
    </row>
  </sheetData>
  <sheetProtection password="C6AC" sheet="1"/>
  <mergeCells count="22">
    <mergeCell ref="C133:D133"/>
    <mergeCell ref="C128:D128"/>
    <mergeCell ref="C129:D129"/>
    <mergeCell ref="C132:D132"/>
    <mergeCell ref="H44:I44"/>
    <mergeCell ref="H45:I45"/>
    <mergeCell ref="H46:I46"/>
    <mergeCell ref="E31:G31"/>
    <mergeCell ref="M29:M30"/>
    <mergeCell ref="H30:I30"/>
    <mergeCell ref="L29:L30"/>
    <mergeCell ref="H31:I31"/>
    <mergeCell ref="H11:I11"/>
    <mergeCell ref="H12:I12"/>
    <mergeCell ref="H13:I13"/>
    <mergeCell ref="H29:K29"/>
    <mergeCell ref="C29:C30"/>
    <mergeCell ref="D29:D30"/>
    <mergeCell ref="H17:I17"/>
    <mergeCell ref="H18:I18"/>
    <mergeCell ref="H19:I19"/>
    <mergeCell ref="E29:G30"/>
  </mergeCells>
  <phoneticPr fontId="8" type="noConversion"/>
  <conditionalFormatting sqref="I68:I73 I16">
    <cfRule type="expression" dxfId="2" priority="6" stopIfTrue="1">
      <formula>Nb_sat="0 satellite"</formula>
    </cfRule>
  </conditionalFormatting>
  <conditionalFormatting sqref="D18:E18">
    <cfRule type="expression" dxfId="1" priority="2" stopIfTrue="1">
      <formula>IF(Propu="Cariacou",0,1)</formula>
    </cfRule>
  </conditionalFormatting>
  <conditionalFormatting sqref="F18:I19">
    <cfRule type="expression" dxfId="0" priority="1" stopIfTrue="1">
      <formula>IF(Propu="Cariacou",1,0)</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214</vt:i4>
      </vt:variant>
    </vt:vector>
  </HeadingPairs>
  <TitlesOfParts>
    <vt:vector size="222"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Raynald</cp:lastModifiedBy>
  <cp:lastPrinted>2011-11-08T21:12:34Z</cp:lastPrinted>
  <dcterms:created xsi:type="dcterms:W3CDTF">2008-11-03T20:48:06Z</dcterms:created>
  <dcterms:modified xsi:type="dcterms:W3CDTF">2022-11-23T21:05:04Z</dcterms:modified>
</cp:coreProperties>
</file>